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01" activeTab="0"/>
  </bookViews>
  <sheets>
    <sheet name="Zał. Nr 10" sheetId="1" r:id="rId1"/>
    <sheet name="Zał. Nr 11" sheetId="2" r:id="rId2"/>
  </sheets>
  <externalReferences>
    <externalReference r:id="rId5"/>
  </externalReferences>
  <definedNames>
    <definedName name="_xlnm.Print_Area" localSheetId="0">'Zał. Nr 10'!$A$1:$P$128</definedName>
    <definedName name="_xlnm.Print_Titles" localSheetId="0">'Zał. Nr 10'!$10:$10</definedName>
    <definedName name="_xlnm.Print_Area" localSheetId="1">'Zał. Nr 11'!$A$1:$K$17</definedName>
  </definedNames>
  <calcPr fullCalcOnLoad="1"/>
</workbook>
</file>

<file path=xl/sharedStrings.xml><?xml version="1.0" encoding="utf-8"?>
<sst xmlns="http://schemas.openxmlformats.org/spreadsheetml/2006/main" count="196" uniqueCount="174">
  <si>
    <t xml:space="preserve">Załącznik Nr 10
</t>
  </si>
  <si>
    <t>WYDATKI  I  ROZCHODY  BUDŻETU  SAMORZĄDOWEGO</t>
  </si>
  <si>
    <t>MIASTA MYSŁOWICE</t>
  </si>
  <si>
    <t>na dzień 31.12.2004  roku</t>
  </si>
  <si>
    <t>wg działów i rozdziałów klasyfikacji budżetowej</t>
  </si>
  <si>
    <t>(w złotych)</t>
  </si>
  <si>
    <t>Dział</t>
  </si>
  <si>
    <t>Rozdział</t>
  </si>
  <si>
    <t>W y s z c z e g ó l n i e n i e</t>
  </si>
  <si>
    <t>Plan
wg URM 
z 22.01.2004 r.</t>
  </si>
  <si>
    <t xml:space="preserve">Plan 
(po zmianach) </t>
  </si>
  <si>
    <t>Wykonanie
 na 
31.12.2004 r.</t>
  </si>
  <si>
    <t>w tym:</t>
  </si>
  <si>
    <t>%
(6:5)</t>
  </si>
  <si>
    <t>w tym</t>
  </si>
  <si>
    <t>Zaangażowanie 
na 
30.06.2004 r.</t>
  </si>
  <si>
    <t>płace i pochodne</t>
  </si>
  <si>
    <t>wydatki bieżące</t>
  </si>
  <si>
    <t>dotacje</t>
  </si>
  <si>
    <t xml:space="preserve"> wydatki
 majątkowe</t>
  </si>
  <si>
    <t>Płace
 i  pochodne</t>
  </si>
  <si>
    <t>Wydatki bieżące</t>
  </si>
  <si>
    <t>Wydatki inwestycyjne</t>
  </si>
  <si>
    <t>Dotacje podmiotowe / przedmiotowe</t>
  </si>
  <si>
    <t>010</t>
  </si>
  <si>
    <t>Rolnictwo i łowiectwo</t>
  </si>
  <si>
    <t>01022</t>
  </si>
  <si>
    <t>Zwalczanie chorób zakaźnych zwierząt oraz badania monitoringowe pozostałości chemicznych i biologicznych w tkankach zwierząt i produktach pochodzenia zwierzęcego</t>
  </si>
  <si>
    <t>01030</t>
  </si>
  <si>
    <t>Izby rolnicze</t>
  </si>
  <si>
    <t>01095</t>
  </si>
  <si>
    <t>Pozostała działalność</t>
  </si>
  <si>
    <t>020</t>
  </si>
  <si>
    <t>Leśnictwo</t>
  </si>
  <si>
    <t>02001</t>
  </si>
  <si>
    <t>Gospodarka leśna</t>
  </si>
  <si>
    <t>02002</t>
  </si>
  <si>
    <t>Nadzór nad gospodarką leśną</t>
  </si>
  <si>
    <t>050</t>
  </si>
  <si>
    <t>Rybołówstwo i rybactwo</t>
  </si>
  <si>
    <t>05002</t>
  </si>
  <si>
    <t>Rybactwo</t>
  </si>
  <si>
    <t>600</t>
  </si>
  <si>
    <t>Transport i łączność</t>
  </si>
  <si>
    <t>Lokalny transport zbiorowy</t>
  </si>
  <si>
    <t>Drogi publiczne w miastach na prawach powiatu</t>
  </si>
  <si>
    <t>Drogi publiczne gminne</t>
  </si>
  <si>
    <t>Drogi wewnętrzne</t>
  </si>
  <si>
    <t>630</t>
  </si>
  <si>
    <t>Turystyka</t>
  </si>
  <si>
    <t>Zadania w zakresie upowszechniania turystyki</t>
  </si>
  <si>
    <t>700</t>
  </si>
  <si>
    <t>Gospodarka mieszkaniowa</t>
  </si>
  <si>
    <t>Zakłady gospodarki mieszkaniowej</t>
  </si>
  <si>
    <t>Gospodarka gruntami i nieruchomościami</t>
  </si>
  <si>
    <t>Towarzystwa budownictwa społecznego</t>
  </si>
  <si>
    <t>710</t>
  </si>
  <si>
    <t>Działalność usługowa</t>
  </si>
  <si>
    <t>Jednostki organizacji i nadzoru inwestycyjnego</t>
  </si>
  <si>
    <t>Plany zagospodarowania przestrzennego</t>
  </si>
  <si>
    <t>Opracowania geodezyjne i kartograficzne</t>
  </si>
  <si>
    <t>Nadzór budowlany</t>
  </si>
  <si>
    <t>Cmentarze</t>
  </si>
  <si>
    <t>750</t>
  </si>
  <si>
    <t>Administracja publiczna</t>
  </si>
  <si>
    <t>Starostwa powiatowe</t>
  </si>
  <si>
    <t>Rady gmin (miast i miast na prawach powiatu)</t>
  </si>
  <si>
    <t>Urzędy gmin (miast i miast na prawach powiatu)</t>
  </si>
  <si>
    <t>Bezpieczeństwo publiczne i ochrona przeciwpożarowa</t>
  </si>
  <si>
    <t>Komendy powiatowe Policji</t>
  </si>
  <si>
    <t>Komendy powiatowe Państwowej Straży Pożarnej</t>
  </si>
  <si>
    <t>Ochotnicze straże pożarne</t>
  </si>
  <si>
    <t>Obrona cywilna</t>
  </si>
  <si>
    <t>Straż Miejska</t>
  </si>
  <si>
    <t>Dochody od os. prawnych, od os. fizyczny i od innych jedn. nie posiad. osobowości prawnej oraz wydatki związane z ich poborem</t>
  </si>
  <si>
    <t>Pobór podatków, opłat i niepodatkowych należności budżetowych</t>
  </si>
  <si>
    <t>Obsługa długu publicznego</t>
  </si>
  <si>
    <t>Obsługa papierów wartościowych, kredytów i pożyczek j.s.t.</t>
  </si>
  <si>
    <t>Różne rozliczenia</t>
  </si>
  <si>
    <t>Różne rozliczenia finansowe</t>
  </si>
  <si>
    <t>Rezerwy ogólne i celowe</t>
  </si>
  <si>
    <t>801</t>
  </si>
  <si>
    <t>Oświata i wychowanie</t>
  </si>
  <si>
    <t>Szkoły podstawowe</t>
  </si>
  <si>
    <t>Szkoły podstawowe specjalne</t>
  </si>
  <si>
    <t>Przedszkola</t>
  </si>
  <si>
    <t>Gimnazja</t>
  </si>
  <si>
    <t>Gimnazja specjalne</t>
  </si>
  <si>
    <t>Dowożenie uczniów do szkół</t>
  </si>
  <si>
    <t>Zespoły obsługi ekonomiczno-administracyjnej szkół</t>
  </si>
  <si>
    <t>Licea ogólnokształcące</t>
  </si>
  <si>
    <t>Licea profilowane</t>
  </si>
  <si>
    <t>Szkoły zawodowe</t>
  </si>
  <si>
    <t>Szkoły zawodowe specjalne</t>
  </si>
  <si>
    <t>Centra kształcenia ustawicznego i praktycznego oraz ośrodki dokształcania zawodowego</t>
  </si>
  <si>
    <t>Komisje egzaminacyjne</t>
  </si>
  <si>
    <t>Dokształcanie i doskonalenie nauczycieli</t>
  </si>
  <si>
    <t>851</t>
  </si>
  <si>
    <t>Ochrona zdrowia</t>
  </si>
  <si>
    <t>Szpitale ogólne</t>
  </si>
  <si>
    <t>Zakłady opiekuńczo-lecznicze i pielęgnacyjno-opiekuńcze</t>
  </si>
  <si>
    <t>Lecznictwo ambulatoryjne</t>
  </si>
  <si>
    <t>Przeciwdziałanie alkoholizmowi</t>
  </si>
  <si>
    <t>Izby wytrzeźwień</t>
  </si>
  <si>
    <t>Pomoc społeczna</t>
  </si>
  <si>
    <t>Placówki opiekuńczo-wychowawcze</t>
  </si>
  <si>
    <t>Domy pomocy społecznej</t>
  </si>
  <si>
    <t>Ośrodki wsparcia</t>
  </si>
  <si>
    <t>Rodziny zastępcze</t>
  </si>
  <si>
    <t>Zasiłki i pomoc w naturze oraz składki na ubezpieczenia społeczne</t>
  </si>
  <si>
    <t>Dodatki mieszkaniowe</t>
  </si>
  <si>
    <t>Ośrodki pomocy społecznej</t>
  </si>
  <si>
    <t>Jednostki specjalistycznego poradnictwa, mieszkania chronione i ośrodki interwencji kryzysowej</t>
  </si>
  <si>
    <t>Usługi opiekuńcze i specjalistyczne usługi opiekuńcze</t>
  </si>
  <si>
    <t>Pozostałe zadania z zakresu pomocy społecznej</t>
  </si>
  <si>
    <t>Żłobki</t>
  </si>
  <si>
    <t>Zespoły do spraw orzekania o niepełnosprawności</t>
  </si>
  <si>
    <t>Fundusz Pracy</t>
  </si>
  <si>
    <t>Powiatowe urzędy pracy</t>
  </si>
  <si>
    <t>854</t>
  </si>
  <si>
    <t>Edukacyjna opieka wychowawcza</t>
  </si>
  <si>
    <t>Świetlice szkolne</t>
  </si>
  <si>
    <t>Specjalne ośrodki wychowawcze</t>
  </si>
  <si>
    <t>Poradnie psychologiczno-pedagogiczne, w tym poradnie specjalistyczne</t>
  </si>
  <si>
    <t>Placówki wychowania pozaszkolnego</t>
  </si>
  <si>
    <t>Kolonie i obozy oraz inne formy wypoczynku dzieci i młodzieży szkolnej, a także szkolenia młodzieży</t>
  </si>
  <si>
    <t>Pomoc materialna dla uczniów</t>
  </si>
  <si>
    <t>900</t>
  </si>
  <si>
    <t>Gospodarka komunalna i ochrona środowiska</t>
  </si>
  <si>
    <t>Gospodarka ściekowa i ochrona wód</t>
  </si>
  <si>
    <t>Oczyszczanie miast i wsi</t>
  </si>
  <si>
    <t>Utrzymanie zieleni w miastach i gminach</t>
  </si>
  <si>
    <t>Schroniska dla zwierząt</t>
  </si>
  <si>
    <t>Oświetlenie ulic, placów i dróg</t>
  </si>
  <si>
    <t>Zakłady gospodarki komunalnej</t>
  </si>
  <si>
    <t>921</t>
  </si>
  <si>
    <t>Kultura i ochrona dziedzictwa narodowego</t>
  </si>
  <si>
    <t>Domy i ośrodki kultury, świetlice i kluby</t>
  </si>
  <si>
    <t>Centra kultury i sztuki</t>
  </si>
  <si>
    <t>Biblioteki</t>
  </si>
  <si>
    <t>Muzea</t>
  </si>
  <si>
    <t>Ochrona i konserwacja zabytków</t>
  </si>
  <si>
    <t>926</t>
  </si>
  <si>
    <t>Kultura fizyczna i sport</t>
  </si>
  <si>
    <t>Obiekty sportowe</t>
  </si>
  <si>
    <t>R A Z E M    W Y D A T K I</t>
  </si>
  <si>
    <t>R O Z C H O D Y</t>
  </si>
  <si>
    <t>§  992</t>
  </si>
  <si>
    <t>Spłaty otrzymanych krajowych pożyczek i kredytów</t>
  </si>
  <si>
    <t>O G Ó Ł E M   W Y D A T K I   +   R O Z C H O D Y</t>
  </si>
  <si>
    <t>Załącznik Nr  11</t>
  </si>
  <si>
    <t>ZESTAWIENIE PRZYCHODÓW I WYDATKÓW ZAKŁADÓW BUDŻETOWYCH, ŚRODKÓW SPECJALNYCH 
I GOSPODARSTWA POMOCNICZEGO
na dzień 31.12.2004 roku</t>
  </si>
  <si>
    <t>Klasyfikacja</t>
  </si>
  <si>
    <t>PRZYCHODY</t>
  </si>
  <si>
    <t>WYDATKI/ KOSZTY</t>
  </si>
  <si>
    <t>Stan środków obrotowych na początek okresu sprawozdaw.</t>
  </si>
  <si>
    <t>Dotacje przedmiotowe</t>
  </si>
  <si>
    <t>Pozostałe przychody</t>
  </si>
  <si>
    <t>Dot. celowe na inwestycje 
i zakupy inwest.</t>
  </si>
  <si>
    <t xml:space="preserve">Suma bilansowa </t>
  </si>
  <si>
    <t>Płace 
i pochodne</t>
  </si>
  <si>
    <t>Pozostałe wydatki</t>
  </si>
  <si>
    <t>Stan środków obrotowych na koniec okresu sprawozdaw.</t>
  </si>
  <si>
    <t>Zakłady budżetowe ogółem:</t>
  </si>
  <si>
    <t>700- MZGK</t>
  </si>
  <si>
    <t>926-MOSiR</t>
  </si>
  <si>
    <t>Środki specjalne ogółem:</t>
  </si>
  <si>
    <t>600-Zarząd dróg</t>
  </si>
  <si>
    <t>801-Przedszkola</t>
  </si>
  <si>
    <t>854-MDK</t>
  </si>
  <si>
    <t>854- ZSS</t>
  </si>
  <si>
    <t>854- MZOPO</t>
  </si>
  <si>
    <t>Gospodarstwo pomocnicze:</t>
  </si>
  <si>
    <t>801-CKP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</si>
</sst>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#,##0.00"/>
    <numFmt numFmtId="167" formatCode="0"/>
    <numFmt numFmtId="168" formatCode="@"/>
  </numFmts>
  <fonts count="15">
    <font>
      <sz val="12"/>
      <name val="Times New Roman CE"/>
      <family val="1"/>
    </font>
    <font>
      <sz val="10"/>
      <name val="Arial"/>
      <family val="0"/>
    </font>
    <font>
      <i/>
      <sz val="11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name val="Times New Roman CE"/>
      <family val="1"/>
    </font>
    <font>
      <b/>
      <sz val="10.5"/>
      <name val="Arial"/>
      <family val="2"/>
    </font>
    <font>
      <sz val="10.5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9">
    <xf numFmtId="164" fontId="0" fillId="0" borderId="0" xfId="0" applyAlignment="1">
      <alignment/>
    </xf>
    <xf numFmtId="165" fontId="2" fillId="0" borderId="0" xfId="0" applyNumberFormat="1" applyFont="1" applyFill="1" applyBorder="1" applyAlignment="1">
      <alignment horizontal="right" vertical="top" wrapText="1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5" fillId="0" borderId="0" xfId="0" applyFont="1" applyBorder="1" applyAlignment="1">
      <alignment horizontal="center"/>
    </xf>
    <xf numFmtId="164" fontId="6" fillId="0" borderId="0" xfId="0" applyFont="1" applyAlignment="1">
      <alignment horizontal="center"/>
    </xf>
    <xf numFmtId="164" fontId="6" fillId="0" borderId="0" xfId="0" applyFont="1" applyAlignment="1">
      <alignment/>
    </xf>
    <xf numFmtId="164" fontId="1" fillId="0" borderId="0" xfId="0" applyFont="1" applyAlignment="1">
      <alignment horizontal="right"/>
    </xf>
    <xf numFmtId="164" fontId="1" fillId="0" borderId="1" xfId="0" applyFont="1" applyBorder="1" applyAlignment="1">
      <alignment horizontal="center" vertical="center" textRotation="90"/>
    </xf>
    <xf numFmtId="164" fontId="1" fillId="0" borderId="1" xfId="0" applyFont="1" applyBorder="1" applyAlignment="1">
      <alignment horizontal="center" vertical="center" textRotation="90" wrapText="1"/>
    </xf>
    <xf numFmtId="164" fontId="7" fillId="0" borderId="1" xfId="0" applyFont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Font="1" applyBorder="1" applyAlignment="1">
      <alignment/>
    </xf>
    <xf numFmtId="164" fontId="1" fillId="0" borderId="1" xfId="0" applyFont="1" applyFill="1" applyBorder="1" applyAlignment="1">
      <alignment horizontal="center" vertical="center" wrapText="1"/>
    </xf>
    <xf numFmtId="164" fontId="1" fillId="0" borderId="0" xfId="0" applyFont="1" applyAlignment="1">
      <alignment/>
    </xf>
    <xf numFmtId="164" fontId="1" fillId="0" borderId="1" xfId="0" applyFont="1" applyBorder="1" applyAlignment="1">
      <alignment horizontal="center" vertical="center" wrapText="1"/>
    </xf>
    <xf numFmtId="164" fontId="1" fillId="0" borderId="1" xfId="0" applyFont="1" applyFill="1" applyBorder="1" applyAlignment="1">
      <alignment horizontal="center" vertical="center"/>
    </xf>
    <xf numFmtId="164" fontId="1" fillId="0" borderId="2" xfId="0" applyFont="1" applyFill="1" applyBorder="1" applyAlignment="1">
      <alignment horizontal="center" vertical="center" wrapText="1"/>
    </xf>
    <xf numFmtId="164" fontId="1" fillId="0" borderId="1" xfId="0" applyFont="1" applyBorder="1" applyAlignment="1">
      <alignment horizontal="left" vertical="center" wrapText="1"/>
    </xf>
    <xf numFmtId="164" fontId="1" fillId="0" borderId="1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/>
    </xf>
    <xf numFmtId="164" fontId="1" fillId="0" borderId="3" xfId="0" applyFont="1" applyBorder="1" applyAlignment="1">
      <alignment horizontal="center"/>
    </xf>
    <xf numFmtId="164" fontId="8" fillId="0" borderId="0" xfId="0" applyFont="1" applyAlignment="1">
      <alignment/>
    </xf>
    <xf numFmtId="164" fontId="9" fillId="0" borderId="1" xfId="0" applyFont="1" applyBorder="1" applyAlignment="1">
      <alignment horizontal="center" vertical="top"/>
    </xf>
    <xf numFmtId="164" fontId="9" fillId="0" borderId="1" xfId="0" applyFont="1" applyBorder="1" applyAlignment="1">
      <alignment vertical="top" wrapText="1"/>
    </xf>
    <xf numFmtId="165" fontId="9" fillId="0" borderId="1" xfId="0" applyNumberFormat="1" applyFont="1" applyBorder="1" applyAlignment="1">
      <alignment vertical="top"/>
    </xf>
    <xf numFmtId="166" fontId="9" fillId="0" borderId="1" xfId="0" applyNumberFormat="1" applyFont="1" applyBorder="1" applyAlignment="1">
      <alignment vertical="top"/>
    </xf>
    <xf numFmtId="165" fontId="0" fillId="0" borderId="0" xfId="0" applyNumberFormat="1" applyAlignment="1">
      <alignment/>
    </xf>
    <xf numFmtId="167" fontId="10" fillId="0" borderId="1" xfId="0" applyNumberFormat="1" applyFont="1" applyBorder="1" applyAlignment="1">
      <alignment horizontal="center" vertical="top" wrapText="1"/>
    </xf>
    <xf numFmtId="164" fontId="10" fillId="0" borderId="1" xfId="0" applyFont="1" applyBorder="1" applyAlignment="1">
      <alignment vertical="top" wrapText="1"/>
    </xf>
    <xf numFmtId="165" fontId="10" fillId="0" borderId="1" xfId="0" applyNumberFormat="1" applyFont="1" applyBorder="1" applyAlignment="1">
      <alignment vertical="top"/>
    </xf>
    <xf numFmtId="165" fontId="10" fillId="0" borderId="3" xfId="0" applyNumberFormat="1" applyFont="1" applyBorder="1" applyAlignment="1">
      <alignment vertical="top"/>
    </xf>
    <xf numFmtId="166" fontId="10" fillId="0" borderId="1" xfId="0" applyNumberFormat="1" applyFont="1" applyBorder="1" applyAlignment="1">
      <alignment vertical="top"/>
    </xf>
    <xf numFmtId="168" fontId="10" fillId="0" borderId="1" xfId="0" applyNumberFormat="1" applyFont="1" applyBorder="1" applyAlignment="1">
      <alignment horizontal="center" vertical="top" wrapText="1"/>
    </xf>
    <xf numFmtId="165" fontId="10" fillId="0" borderId="4" xfId="0" applyNumberFormat="1" applyFont="1" applyFill="1" applyBorder="1" applyAlignment="1">
      <alignment vertical="top"/>
    </xf>
    <xf numFmtId="167" fontId="10" fillId="0" borderId="1" xfId="0" applyNumberFormat="1" applyFont="1" applyFill="1" applyBorder="1" applyAlignment="1">
      <alignment horizontal="center" vertical="top" wrapText="1"/>
    </xf>
    <xf numFmtId="167" fontId="10" fillId="0" borderId="1" xfId="0" applyNumberFormat="1" applyFont="1" applyBorder="1" applyAlignment="1">
      <alignment horizontal="center" vertical="top"/>
    </xf>
    <xf numFmtId="165" fontId="9" fillId="0" borderId="1" xfId="0" applyNumberFormat="1" applyFont="1" applyFill="1" applyBorder="1" applyAlignment="1">
      <alignment vertical="top"/>
    </xf>
    <xf numFmtId="165" fontId="9" fillId="0" borderId="3" xfId="0" applyNumberFormat="1" applyFont="1" applyFill="1" applyBorder="1" applyAlignment="1">
      <alignment vertical="top"/>
    </xf>
    <xf numFmtId="164" fontId="10" fillId="0" borderId="5" xfId="0" applyFont="1" applyBorder="1" applyAlignment="1">
      <alignment horizontal="left" vertical="top" wrapText="1"/>
    </xf>
    <xf numFmtId="165" fontId="10" fillId="0" borderId="1" xfId="0" applyNumberFormat="1" applyFont="1" applyFill="1" applyBorder="1" applyAlignment="1">
      <alignment vertical="top"/>
    </xf>
    <xf numFmtId="165" fontId="9" fillId="0" borderId="3" xfId="0" applyNumberFormat="1" applyFont="1" applyBorder="1" applyAlignment="1">
      <alignment vertical="top"/>
    </xf>
    <xf numFmtId="164" fontId="10" fillId="0" borderId="0" xfId="0" applyFont="1" applyAlignment="1">
      <alignment horizontal="center" vertical="top"/>
    </xf>
    <xf numFmtId="167" fontId="10" fillId="0" borderId="6" xfId="0" applyNumberFormat="1" applyFont="1" applyBorder="1" applyAlignment="1">
      <alignment horizontal="left" vertical="top" wrapText="1"/>
    </xf>
    <xf numFmtId="167" fontId="9" fillId="0" borderId="1" xfId="0" applyNumberFormat="1" applyFont="1" applyBorder="1" applyAlignment="1">
      <alignment horizontal="center" vertical="top" wrapText="1"/>
    </xf>
    <xf numFmtId="164" fontId="10" fillId="0" borderId="1" xfId="0" applyFont="1" applyBorder="1" applyAlignment="1">
      <alignment horizontal="left" vertical="top" wrapText="1"/>
    </xf>
    <xf numFmtId="164" fontId="10" fillId="0" borderId="1" xfId="0" applyFont="1" applyFill="1" applyBorder="1" applyAlignment="1">
      <alignment vertical="top" wrapText="1"/>
    </xf>
    <xf numFmtId="167" fontId="9" fillId="0" borderId="1" xfId="0" applyNumberFormat="1" applyFont="1" applyFill="1" applyBorder="1" applyAlignment="1">
      <alignment horizontal="center" vertical="top" wrapText="1"/>
    </xf>
    <xf numFmtId="164" fontId="9" fillId="0" borderId="1" xfId="0" applyFont="1" applyBorder="1" applyAlignment="1">
      <alignment/>
    </xf>
    <xf numFmtId="164" fontId="9" fillId="0" borderId="1" xfId="0" applyFont="1" applyBorder="1" applyAlignment="1">
      <alignment wrapText="1"/>
    </xf>
    <xf numFmtId="164" fontId="9" fillId="0" borderId="7" xfId="0" applyFont="1" applyBorder="1" applyAlignment="1">
      <alignment horizontal="center" vertical="top"/>
    </xf>
    <xf numFmtId="164" fontId="10" fillId="0" borderId="7" xfId="0" applyFont="1" applyBorder="1" applyAlignment="1">
      <alignment horizontal="center" vertical="top"/>
    </xf>
    <xf numFmtId="167" fontId="10" fillId="0" borderId="7" xfId="0" applyNumberFormat="1" applyFont="1" applyBorder="1" applyAlignment="1">
      <alignment horizontal="center" vertical="top"/>
    </xf>
    <xf numFmtId="164" fontId="10" fillId="0" borderId="7" xfId="0" applyFont="1" applyBorder="1" applyAlignment="1">
      <alignment vertical="top" wrapText="1"/>
    </xf>
    <xf numFmtId="165" fontId="10" fillId="0" borderId="7" xfId="0" applyNumberFormat="1" applyFont="1" applyBorder="1" applyAlignment="1">
      <alignment vertical="top"/>
    </xf>
    <xf numFmtId="165" fontId="10" fillId="0" borderId="8" xfId="0" applyNumberFormat="1" applyFont="1" applyBorder="1" applyAlignment="1">
      <alignment vertical="top"/>
    </xf>
    <xf numFmtId="164" fontId="9" fillId="0" borderId="7" xfId="0" applyFont="1" applyBorder="1" applyAlignment="1">
      <alignment horizontal="center" vertical="center" wrapText="1"/>
    </xf>
    <xf numFmtId="165" fontId="9" fillId="0" borderId="7" xfId="0" applyNumberFormat="1" applyFont="1" applyBorder="1" applyAlignment="1">
      <alignment vertical="top"/>
    </xf>
    <xf numFmtId="164" fontId="9" fillId="0" borderId="7" xfId="0" applyFont="1" applyBorder="1" applyAlignment="1">
      <alignment horizontal="center" vertical="center"/>
    </xf>
    <xf numFmtId="164" fontId="10" fillId="0" borderId="9" xfId="0" applyFont="1" applyBorder="1" applyAlignment="1">
      <alignment horizontal="center" vertical="center"/>
    </xf>
    <xf numFmtId="164" fontId="10" fillId="0" borderId="9" xfId="0" applyFont="1" applyBorder="1" applyAlignment="1">
      <alignment horizontal="left" vertical="center" wrapText="1"/>
    </xf>
    <xf numFmtId="165" fontId="10" fillId="0" borderId="9" xfId="0" applyNumberFormat="1" applyFont="1" applyBorder="1" applyAlignment="1">
      <alignment vertical="top"/>
    </xf>
    <xf numFmtId="165" fontId="10" fillId="0" borderId="10" xfId="0" applyNumberFormat="1" applyFont="1" applyBorder="1" applyAlignment="1">
      <alignment vertical="top"/>
    </xf>
    <xf numFmtId="165" fontId="10" fillId="0" borderId="9" xfId="0" applyNumberFormat="1" applyFont="1" applyFill="1" applyBorder="1" applyAlignment="1">
      <alignment vertical="top"/>
    </xf>
    <xf numFmtId="165" fontId="10" fillId="0" borderId="10" xfId="0" applyNumberFormat="1" applyFont="1" applyFill="1" applyBorder="1" applyAlignment="1">
      <alignment vertical="top"/>
    </xf>
    <xf numFmtId="166" fontId="10" fillId="0" borderId="7" xfId="0" applyNumberFormat="1" applyFont="1" applyBorder="1" applyAlignment="1">
      <alignment vertical="top"/>
    </xf>
    <xf numFmtId="164" fontId="9" fillId="0" borderId="11" xfId="0" applyFont="1" applyFill="1" applyBorder="1" applyAlignment="1">
      <alignment horizontal="center" vertical="center"/>
    </xf>
    <xf numFmtId="165" fontId="9" fillId="0" borderId="11" xfId="0" applyNumberFormat="1" applyFont="1" applyFill="1" applyBorder="1" applyAlignment="1">
      <alignment vertical="top"/>
    </xf>
    <xf numFmtId="166" fontId="9" fillId="0" borderId="12" xfId="0" applyNumberFormat="1" applyFont="1" applyBorder="1" applyAlignment="1">
      <alignment vertical="top"/>
    </xf>
    <xf numFmtId="164" fontId="0" fillId="0" borderId="0" xfId="0" applyAlignment="1">
      <alignment vertical="top"/>
    </xf>
    <xf numFmtId="165" fontId="0" fillId="0" borderId="0" xfId="0" applyNumberFormat="1" applyAlignment="1">
      <alignment vertical="top"/>
    </xf>
    <xf numFmtId="164" fontId="11" fillId="0" borderId="0" xfId="0" applyFont="1" applyBorder="1" applyAlignment="1">
      <alignment horizontal="right" wrapText="1"/>
    </xf>
    <xf numFmtId="164" fontId="0" fillId="0" borderId="0" xfId="0" applyBorder="1" applyAlignment="1">
      <alignment horizontal="right"/>
    </xf>
    <xf numFmtId="164" fontId="6" fillId="0" borderId="0" xfId="0" applyFont="1" applyBorder="1" applyAlignment="1">
      <alignment horizontal="center" vertical="center" wrapText="1"/>
    </xf>
    <xf numFmtId="164" fontId="6" fillId="0" borderId="13" xfId="0" applyFont="1" applyBorder="1" applyAlignment="1">
      <alignment horizontal="center" vertical="center" wrapText="1"/>
    </xf>
    <xf numFmtId="164" fontId="1" fillId="0" borderId="13" xfId="0" applyFont="1" applyBorder="1" applyAlignment="1">
      <alignment horizontal="center" vertical="center" wrapText="1"/>
    </xf>
    <xf numFmtId="164" fontId="12" fillId="0" borderId="14" xfId="0" applyFont="1" applyBorder="1" applyAlignment="1">
      <alignment horizontal="center" vertical="center"/>
    </xf>
    <xf numFmtId="164" fontId="12" fillId="0" borderId="15" xfId="0" applyFont="1" applyBorder="1" applyAlignment="1">
      <alignment horizontal="center" vertical="center" wrapText="1"/>
    </xf>
    <xf numFmtId="164" fontId="12" fillId="0" borderId="16" xfId="0" applyFont="1" applyBorder="1" applyAlignment="1">
      <alignment horizontal="center" vertical="center" wrapText="1"/>
    </xf>
    <xf numFmtId="164" fontId="12" fillId="0" borderId="1" xfId="0" applyFont="1" applyBorder="1" applyAlignment="1">
      <alignment horizontal="center" vertical="center" wrapText="1"/>
    </xf>
    <xf numFmtId="164" fontId="12" fillId="0" borderId="17" xfId="0" applyFont="1" applyBorder="1" applyAlignment="1">
      <alignment horizontal="center" vertical="center" wrapText="1"/>
    </xf>
    <xf numFmtId="164" fontId="12" fillId="0" borderId="3" xfId="0" applyFont="1" applyBorder="1" applyAlignment="1">
      <alignment horizontal="center" vertical="center" wrapText="1"/>
    </xf>
    <xf numFmtId="164" fontId="13" fillId="0" borderId="18" xfId="0" applyFont="1" applyBorder="1" applyAlignment="1">
      <alignment horizontal="center"/>
    </xf>
    <xf numFmtId="164" fontId="13" fillId="0" borderId="19" xfId="0" applyFont="1" applyBorder="1" applyAlignment="1">
      <alignment horizontal="center"/>
    </xf>
    <xf numFmtId="164" fontId="13" fillId="0" borderId="9" xfId="0" applyFont="1" applyBorder="1" applyAlignment="1">
      <alignment horizontal="center"/>
    </xf>
    <xf numFmtId="164" fontId="13" fillId="0" borderId="20" xfId="0" applyFont="1" applyBorder="1" applyAlignment="1">
      <alignment horizontal="center"/>
    </xf>
    <xf numFmtId="164" fontId="13" fillId="0" borderId="10" xfId="0" applyFont="1" applyBorder="1" applyAlignment="1">
      <alignment horizontal="center"/>
    </xf>
    <xf numFmtId="164" fontId="0" fillId="0" borderId="0" xfId="0" applyBorder="1" applyAlignment="1">
      <alignment/>
    </xf>
    <xf numFmtId="164" fontId="0" fillId="0" borderId="21" xfId="0" applyBorder="1" applyAlignment="1">
      <alignment/>
    </xf>
    <xf numFmtId="165" fontId="14" fillId="0" borderId="22" xfId="0" applyNumberFormat="1" applyFont="1" applyBorder="1" applyAlignment="1">
      <alignment horizontal="center" vertical="center" wrapText="1"/>
    </xf>
    <xf numFmtId="165" fontId="14" fillId="0" borderId="23" xfId="0" applyNumberFormat="1" applyFont="1" applyBorder="1" applyAlignment="1">
      <alignment horizontal="right" vertical="center"/>
    </xf>
    <xf numFmtId="165" fontId="14" fillId="0" borderId="24" xfId="0" applyNumberFormat="1" applyFont="1" applyBorder="1" applyAlignment="1">
      <alignment horizontal="right" vertical="center"/>
    </xf>
    <xf numFmtId="165" fontId="14" fillId="0" borderId="25" xfId="0" applyNumberFormat="1" applyFont="1" applyBorder="1" applyAlignment="1">
      <alignment horizontal="right" vertical="center"/>
    </xf>
    <xf numFmtId="165" fontId="14" fillId="0" borderId="26" xfId="0" applyNumberFormat="1" applyFont="1" applyBorder="1" applyAlignment="1">
      <alignment horizontal="right" vertical="center"/>
    </xf>
    <xf numFmtId="165" fontId="14" fillId="0" borderId="27" xfId="0" applyNumberFormat="1" applyFont="1" applyBorder="1" applyAlignment="1">
      <alignment horizontal="right" vertical="center"/>
    </xf>
    <xf numFmtId="164" fontId="8" fillId="0" borderId="0" xfId="0" applyFont="1" applyBorder="1" applyAlignment="1">
      <alignment/>
    </xf>
    <xf numFmtId="164" fontId="7" fillId="0" borderId="15" xfId="0" applyFont="1" applyFill="1" applyBorder="1" applyAlignment="1">
      <alignment horizontal="left"/>
    </xf>
    <xf numFmtId="165" fontId="7" fillId="0" borderId="28" xfId="0" applyNumberFormat="1" applyFont="1" applyBorder="1" applyAlignment="1">
      <alignment/>
    </xf>
    <xf numFmtId="165" fontId="7" fillId="0" borderId="6" xfId="0" applyNumberFormat="1" applyFont="1" applyBorder="1" applyAlignment="1">
      <alignment/>
    </xf>
    <xf numFmtId="165" fontId="7" fillId="0" borderId="29" xfId="0" applyNumberFormat="1" applyFont="1" applyBorder="1" applyAlignment="1">
      <alignment/>
    </xf>
    <xf numFmtId="165" fontId="7" fillId="0" borderId="30" xfId="0" applyNumberFormat="1" applyFont="1" applyBorder="1" applyAlignment="1">
      <alignment/>
    </xf>
    <xf numFmtId="165" fontId="8" fillId="0" borderId="0" xfId="0" applyNumberFormat="1" applyFont="1" applyAlignment="1">
      <alignment/>
    </xf>
    <xf numFmtId="164" fontId="7" fillId="0" borderId="31" xfId="0" applyFont="1" applyBorder="1" applyAlignment="1">
      <alignment horizontal="left"/>
    </xf>
    <xf numFmtId="165" fontId="7" fillId="0" borderId="32" xfId="0" applyNumberFormat="1" applyFont="1" applyBorder="1" applyAlignment="1">
      <alignment/>
    </xf>
    <xf numFmtId="165" fontId="7" fillId="0" borderId="33" xfId="0" applyNumberFormat="1" applyFont="1" applyBorder="1" applyAlignment="1">
      <alignment/>
    </xf>
    <xf numFmtId="165" fontId="7" fillId="0" borderId="34" xfId="0" applyNumberFormat="1" applyFont="1" applyBorder="1" applyAlignment="1">
      <alignment/>
    </xf>
    <xf numFmtId="165" fontId="7" fillId="0" borderId="35" xfId="0" applyNumberFormat="1" applyFont="1" applyBorder="1" applyAlignment="1">
      <alignment/>
    </xf>
    <xf numFmtId="164" fontId="14" fillId="0" borderId="15" xfId="0" applyFont="1" applyBorder="1" applyAlignment="1">
      <alignment horizontal="center" vertical="center" wrapText="1"/>
    </xf>
    <xf numFmtId="165" fontId="14" fillId="0" borderId="28" xfId="0" applyNumberFormat="1" applyFont="1" applyBorder="1" applyAlignment="1">
      <alignment horizontal="right" vertical="center" wrapText="1"/>
    </xf>
    <xf numFmtId="165" fontId="14" fillId="0" borderId="6" xfId="0" applyNumberFormat="1" applyFont="1" applyBorder="1" applyAlignment="1">
      <alignment horizontal="right" vertical="center" wrapText="1"/>
    </xf>
    <xf numFmtId="165" fontId="14" fillId="0" borderId="29" xfId="0" applyNumberFormat="1" applyFont="1" applyBorder="1" applyAlignment="1">
      <alignment horizontal="right" vertical="center" wrapText="1"/>
    </xf>
    <xf numFmtId="165" fontId="14" fillId="0" borderId="30" xfId="0" applyNumberFormat="1" applyFont="1" applyBorder="1" applyAlignment="1">
      <alignment horizontal="right" vertical="center" wrapText="1"/>
    </xf>
    <xf numFmtId="164" fontId="7" fillId="0" borderId="15" xfId="0" applyFont="1" applyFill="1" applyBorder="1" applyAlignment="1">
      <alignment horizontal="left" vertical="center" wrapText="1"/>
    </xf>
    <xf numFmtId="164" fontId="7" fillId="0" borderId="14" xfId="0" applyFont="1" applyBorder="1" applyAlignment="1">
      <alignment horizontal="left" vertical="center" wrapText="1"/>
    </xf>
    <xf numFmtId="164" fontId="7" fillId="0" borderId="36" xfId="0" applyFont="1" applyFill="1" applyBorder="1" applyAlignment="1">
      <alignment horizontal="left" vertical="center" wrapText="1"/>
    </xf>
    <xf numFmtId="165" fontId="7" fillId="0" borderId="37" xfId="0" applyNumberFormat="1" applyFont="1" applyBorder="1" applyAlignment="1">
      <alignment/>
    </xf>
    <xf numFmtId="165" fontId="7" fillId="0" borderId="4" xfId="0" applyNumberFormat="1" applyFont="1" applyBorder="1" applyAlignment="1">
      <alignment/>
    </xf>
    <xf numFmtId="165" fontId="7" fillId="0" borderId="38" xfId="0" applyNumberFormat="1" applyFont="1" applyBorder="1" applyAlignment="1">
      <alignment/>
    </xf>
    <xf numFmtId="165" fontId="7" fillId="0" borderId="39" xfId="0" applyNumberFormat="1" applyFont="1" applyBorder="1" applyAlignment="1">
      <alignment/>
    </xf>
    <xf numFmtId="164" fontId="14" fillId="0" borderId="40" xfId="0" applyFont="1" applyBorder="1" applyAlignment="1">
      <alignment horizontal="center" vertical="center" wrapText="1"/>
    </xf>
    <xf numFmtId="165" fontId="14" fillId="0" borderId="41" xfId="0" applyNumberFormat="1" applyFont="1" applyBorder="1" applyAlignment="1">
      <alignment/>
    </xf>
    <xf numFmtId="165" fontId="14" fillId="0" borderId="42" xfId="0" applyNumberFormat="1" applyFont="1" applyBorder="1" applyAlignment="1">
      <alignment/>
    </xf>
    <xf numFmtId="165" fontId="14" fillId="0" borderId="43" xfId="0" applyNumberFormat="1" applyFont="1" applyBorder="1" applyAlignment="1">
      <alignment/>
    </xf>
    <xf numFmtId="164" fontId="7" fillId="0" borderId="18" xfId="0" applyFont="1" applyFill="1" applyBorder="1" applyAlignment="1">
      <alignment horizontal="left"/>
    </xf>
    <xf numFmtId="165" fontId="7" fillId="0" borderId="19" xfId="0" applyNumberFormat="1" applyFont="1" applyBorder="1" applyAlignment="1">
      <alignment/>
    </xf>
    <xf numFmtId="165" fontId="7" fillId="0" borderId="9" xfId="0" applyNumberFormat="1" applyFont="1" applyBorder="1" applyAlignment="1">
      <alignment/>
    </xf>
    <xf numFmtId="165" fontId="7" fillId="0" borderId="20" xfId="0" applyNumberFormat="1" applyFont="1" applyBorder="1" applyAlignment="1">
      <alignment/>
    </xf>
    <xf numFmtId="165" fontId="7" fillId="0" borderId="1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../Olejnik.UM-6ZHKVQ8JM3DA\Moje%20dokumenty\2004\I%20p&#243;&#322;rocze%202004%20r\Za&#322;.%20Nr%2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łącznik Nr 8 I półrocz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59"/>
  <sheetViews>
    <sheetView tabSelected="1" view="pageBreakPreview" zoomScale="75" zoomScaleNormal="80" zoomScaleSheetLayoutView="75" workbookViewId="0" topLeftCell="A103">
      <selection activeCell="Q138" sqref="Q138"/>
    </sheetView>
  </sheetViews>
  <sheetFormatPr defaultColWidth="8.796875" defaultRowHeight="15"/>
  <cols>
    <col min="1" max="1" width="4.09765625" style="0" customWidth="1"/>
    <col min="2" max="2" width="6.8984375" style="0" customWidth="1"/>
    <col min="3" max="3" width="34.19921875" style="0" customWidth="1"/>
    <col min="4" max="4" width="12.69921875" style="0" customWidth="1"/>
    <col min="5" max="8" width="0" style="0" hidden="1" customWidth="1"/>
    <col min="9" max="9" width="11.5" style="0" customWidth="1"/>
    <col min="10" max="10" width="0" style="0" hidden="1" customWidth="1"/>
    <col min="11" max="11" width="11" style="0" customWidth="1"/>
    <col min="12" max="12" width="10.8984375" style="0" customWidth="1"/>
    <col min="13" max="13" width="10.69921875" style="0" customWidth="1"/>
    <col min="14" max="14" width="10" style="0" customWidth="1"/>
    <col min="15" max="15" width="10.09765625" style="0" customWidth="1"/>
    <col min="16" max="16" width="7" style="0" customWidth="1"/>
    <col min="17" max="17" width="15.8984375" style="0" customWidth="1"/>
  </cols>
  <sheetData>
    <row r="1" spans="1:16" ht="21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2.7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2.7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2.75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16.5" customHeight="1">
      <c r="A6" s="5"/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7"/>
      <c r="P6" s="7" t="s">
        <v>5</v>
      </c>
    </row>
    <row r="7" spans="1:16" ht="16.5" customHeight="1">
      <c r="A7" s="8" t="s">
        <v>6</v>
      </c>
      <c r="B7" s="9" t="s">
        <v>7</v>
      </c>
      <c r="C7" s="10" t="s">
        <v>8</v>
      </c>
      <c r="D7" s="11" t="s">
        <v>9</v>
      </c>
      <c r="E7" s="12"/>
      <c r="F7" s="12"/>
      <c r="G7" s="12"/>
      <c r="H7" s="12"/>
      <c r="I7" s="13" t="s">
        <v>10</v>
      </c>
      <c r="J7" s="14"/>
      <c r="K7" s="15" t="s">
        <v>11</v>
      </c>
      <c r="L7" s="12" t="s">
        <v>12</v>
      </c>
      <c r="M7" s="12"/>
      <c r="N7" s="12"/>
      <c r="O7" s="12"/>
      <c r="P7" s="15" t="s">
        <v>13</v>
      </c>
    </row>
    <row r="8" spans="1:16" ht="15" customHeight="1">
      <c r="A8" s="8"/>
      <c r="B8" s="9"/>
      <c r="C8" s="10"/>
      <c r="D8" s="11"/>
      <c r="E8" s="16" t="s">
        <v>14</v>
      </c>
      <c r="F8" s="16"/>
      <c r="G8" s="16"/>
      <c r="H8" s="16"/>
      <c r="I8" s="13"/>
      <c r="J8" s="17" t="s">
        <v>15</v>
      </c>
      <c r="K8" s="15"/>
      <c r="L8" s="15" t="s">
        <v>16</v>
      </c>
      <c r="M8" s="15" t="s">
        <v>17</v>
      </c>
      <c r="N8" s="15" t="s">
        <v>18</v>
      </c>
      <c r="O8" s="18" t="s">
        <v>19</v>
      </c>
      <c r="P8" s="15"/>
    </row>
    <row r="9" spans="1:16" ht="27.75" customHeight="1">
      <c r="A9" s="8"/>
      <c r="B9" s="9"/>
      <c r="C9" s="10"/>
      <c r="D9" s="11"/>
      <c r="E9" s="11" t="s">
        <v>20</v>
      </c>
      <c r="F9" s="11" t="s">
        <v>21</v>
      </c>
      <c r="G9" s="11" t="s">
        <v>22</v>
      </c>
      <c r="H9" s="11" t="s">
        <v>23</v>
      </c>
      <c r="I9" s="13"/>
      <c r="J9" s="17"/>
      <c r="K9" s="15"/>
      <c r="L9" s="15"/>
      <c r="M9" s="15"/>
      <c r="N9" s="15"/>
      <c r="O9" s="18"/>
      <c r="P9" s="15"/>
    </row>
    <row r="10" spans="1:16" s="23" customFormat="1" ht="12.75">
      <c r="A10" s="19">
        <v>1</v>
      </c>
      <c r="B10" s="19">
        <v>2</v>
      </c>
      <c r="C10" s="19">
        <v>3</v>
      </c>
      <c r="D10" s="19">
        <v>4</v>
      </c>
      <c r="E10" s="20">
        <v>5</v>
      </c>
      <c r="F10" s="20">
        <v>6</v>
      </c>
      <c r="G10" s="20">
        <v>7</v>
      </c>
      <c r="H10" s="20">
        <v>8</v>
      </c>
      <c r="I10" s="21">
        <v>5</v>
      </c>
      <c r="J10" s="21">
        <v>6</v>
      </c>
      <c r="K10" s="21">
        <v>6</v>
      </c>
      <c r="L10" s="21">
        <v>7</v>
      </c>
      <c r="M10" s="21">
        <v>8</v>
      </c>
      <c r="N10" s="21">
        <v>9</v>
      </c>
      <c r="O10" s="22">
        <v>10</v>
      </c>
      <c r="P10" s="21">
        <v>11</v>
      </c>
    </row>
    <row r="11" spans="1:17" ht="16.5" customHeight="1">
      <c r="A11" s="24" t="s">
        <v>24</v>
      </c>
      <c r="B11" s="24"/>
      <c r="C11" s="25" t="s">
        <v>25</v>
      </c>
      <c r="D11" s="26">
        <f>SUM(D12:D14)</f>
        <v>10500</v>
      </c>
      <c r="E11" s="26" t="e">
        <f aca="true" t="shared" si="0" ref="E11:O11">SUM(E12:E14)</f>
        <v>#REF!</v>
      </c>
      <c r="F11" s="26" t="e">
        <f t="shared" si="0"/>
        <v>#REF!</v>
      </c>
      <c r="G11" s="26" t="e">
        <f t="shared" si="0"/>
        <v>#REF!</v>
      </c>
      <c r="H11" s="26" t="e">
        <f t="shared" si="0"/>
        <v>#REF!</v>
      </c>
      <c r="I11" s="26">
        <f t="shared" si="0"/>
        <v>10785</v>
      </c>
      <c r="J11" s="26">
        <f t="shared" si="0"/>
        <v>1613</v>
      </c>
      <c r="K11" s="26">
        <f t="shared" si="0"/>
        <v>10784</v>
      </c>
      <c r="L11" s="26">
        <f t="shared" si="0"/>
        <v>0</v>
      </c>
      <c r="M11" s="26">
        <f t="shared" si="0"/>
        <v>10784</v>
      </c>
      <c r="N11" s="26">
        <f t="shared" si="0"/>
        <v>0</v>
      </c>
      <c r="O11" s="26">
        <f t="shared" si="0"/>
        <v>0</v>
      </c>
      <c r="P11" s="27">
        <f>K11/I11*100</f>
        <v>99.99072786277236</v>
      </c>
      <c r="Q11" s="28"/>
    </row>
    <row r="12" spans="1:17" ht="72.75" customHeight="1">
      <c r="A12" s="29" t="s">
        <v>24</v>
      </c>
      <c r="B12" s="29" t="s">
        <v>26</v>
      </c>
      <c r="C12" s="30" t="s">
        <v>27</v>
      </c>
      <c r="D12" s="31">
        <v>1000</v>
      </c>
      <c r="E12" s="31" t="e">
        <f>#REF!</f>
        <v>#REF!</v>
      </c>
      <c r="F12" s="31" t="e">
        <f>#REF!</f>
        <v>#REF!</v>
      </c>
      <c r="G12" s="31" t="e">
        <f>#REF!</f>
        <v>#REF!</v>
      </c>
      <c r="H12" s="32" t="e">
        <f>#REF!</f>
        <v>#REF!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2">
        <v>0</v>
      </c>
      <c r="P12" s="33">
        <v>0</v>
      </c>
      <c r="Q12" s="28"/>
    </row>
    <row r="13" spans="1:17" ht="18" customHeight="1">
      <c r="A13" s="34" t="s">
        <v>24</v>
      </c>
      <c r="B13" s="34" t="s">
        <v>28</v>
      </c>
      <c r="C13" s="30" t="s">
        <v>29</v>
      </c>
      <c r="D13" s="31">
        <v>3000</v>
      </c>
      <c r="E13" s="31" t="e">
        <f>#REF!</f>
        <v>#REF!</v>
      </c>
      <c r="F13" s="31" t="e">
        <f>#REF!</f>
        <v>#REF!</v>
      </c>
      <c r="G13" s="31" t="e">
        <f>#REF!</f>
        <v>#REF!</v>
      </c>
      <c r="H13" s="32" t="e">
        <f>#REF!</f>
        <v>#REF!</v>
      </c>
      <c r="I13" s="31">
        <v>2784</v>
      </c>
      <c r="J13" s="31">
        <v>1613</v>
      </c>
      <c r="K13" s="31">
        <v>2784</v>
      </c>
      <c r="L13" s="31">
        <v>0</v>
      </c>
      <c r="M13" s="31">
        <v>2784</v>
      </c>
      <c r="N13" s="35">
        <v>0</v>
      </c>
      <c r="O13" s="32">
        <v>0</v>
      </c>
      <c r="P13" s="33">
        <f>K13/I13*100</f>
        <v>100</v>
      </c>
      <c r="Q13" s="28"/>
    </row>
    <row r="14" spans="1:17" ht="18" customHeight="1">
      <c r="A14" s="29" t="s">
        <v>24</v>
      </c>
      <c r="B14" s="29" t="s">
        <v>30</v>
      </c>
      <c r="C14" s="30" t="s">
        <v>31</v>
      </c>
      <c r="D14" s="31">
        <v>6500</v>
      </c>
      <c r="E14" s="31" t="e">
        <f>#REF!</f>
        <v>#REF!</v>
      </c>
      <c r="F14" s="31" t="e">
        <f>#REF!</f>
        <v>#REF!</v>
      </c>
      <c r="G14" s="31" t="e">
        <f>#REF!</f>
        <v>#REF!</v>
      </c>
      <c r="H14" s="32" t="e">
        <f>#REF!</f>
        <v>#REF!</v>
      </c>
      <c r="I14" s="31">
        <v>8001</v>
      </c>
      <c r="J14" s="31">
        <v>0</v>
      </c>
      <c r="K14" s="31">
        <v>8000</v>
      </c>
      <c r="L14" s="31">
        <v>0</v>
      </c>
      <c r="M14" s="31">
        <v>8000</v>
      </c>
      <c r="N14" s="31">
        <v>0</v>
      </c>
      <c r="O14" s="32">
        <v>0</v>
      </c>
      <c r="P14" s="33">
        <f>K14/I14*100</f>
        <v>99.98750156230471</v>
      </c>
      <c r="Q14" s="28"/>
    </row>
    <row r="15" spans="1:17" ht="18" customHeight="1">
      <c r="A15" s="24" t="s">
        <v>32</v>
      </c>
      <c r="B15" s="24"/>
      <c r="C15" s="25" t="s">
        <v>33</v>
      </c>
      <c r="D15" s="26">
        <f>SUM(D16:D17)</f>
        <v>6000</v>
      </c>
      <c r="E15" s="26" t="e">
        <f aca="true" t="shared" si="1" ref="E15:O15">SUM(E16:E17)</f>
        <v>#REF!</v>
      </c>
      <c r="F15" s="26" t="e">
        <f t="shared" si="1"/>
        <v>#REF!</v>
      </c>
      <c r="G15" s="26" t="e">
        <f t="shared" si="1"/>
        <v>#REF!</v>
      </c>
      <c r="H15" s="26" t="e">
        <f t="shared" si="1"/>
        <v>#REF!</v>
      </c>
      <c r="I15" s="26">
        <f t="shared" si="1"/>
        <v>7000</v>
      </c>
      <c r="J15" s="26">
        <f t="shared" si="1"/>
        <v>3000</v>
      </c>
      <c r="K15" s="26">
        <f t="shared" si="1"/>
        <v>6878</v>
      </c>
      <c r="L15" s="26">
        <f t="shared" si="1"/>
        <v>0</v>
      </c>
      <c r="M15" s="26">
        <f t="shared" si="1"/>
        <v>6878</v>
      </c>
      <c r="N15" s="26">
        <f t="shared" si="1"/>
        <v>0</v>
      </c>
      <c r="O15" s="26">
        <f t="shared" si="1"/>
        <v>0</v>
      </c>
      <c r="P15" s="27">
        <f>K15/I15*100</f>
        <v>98.25714285714285</v>
      </c>
      <c r="Q15" s="28"/>
    </row>
    <row r="16" spans="1:17" ht="18" customHeight="1">
      <c r="A16" s="29" t="s">
        <v>32</v>
      </c>
      <c r="B16" s="29" t="s">
        <v>34</v>
      </c>
      <c r="C16" s="30" t="s">
        <v>35</v>
      </c>
      <c r="D16" s="31">
        <v>3000</v>
      </c>
      <c r="E16" s="31" t="e">
        <f>#REF!</f>
        <v>#REF!</v>
      </c>
      <c r="F16" s="31" t="e">
        <f>#REF!</f>
        <v>#REF!</v>
      </c>
      <c r="G16" s="31" t="e">
        <f>#REF!</f>
        <v>#REF!</v>
      </c>
      <c r="H16" s="32" t="e">
        <f>#REF!</f>
        <v>#REF!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2">
        <v>0</v>
      </c>
      <c r="P16" s="33">
        <v>0</v>
      </c>
      <c r="Q16" s="28"/>
    </row>
    <row r="17" spans="1:17" ht="18" customHeight="1">
      <c r="A17" s="29" t="s">
        <v>32</v>
      </c>
      <c r="B17" s="29" t="s">
        <v>36</v>
      </c>
      <c r="C17" s="30" t="s">
        <v>37</v>
      </c>
      <c r="D17" s="31">
        <v>3000</v>
      </c>
      <c r="E17" s="31" t="e">
        <f>#REF!</f>
        <v>#REF!</v>
      </c>
      <c r="F17" s="31" t="e">
        <f>#REF!</f>
        <v>#REF!</v>
      </c>
      <c r="G17" s="31" t="e">
        <f>#REF!</f>
        <v>#REF!</v>
      </c>
      <c r="H17" s="32" t="e">
        <f>#REF!</f>
        <v>#REF!</v>
      </c>
      <c r="I17" s="31">
        <v>7000</v>
      </c>
      <c r="J17" s="31">
        <v>3000</v>
      </c>
      <c r="K17" s="31">
        <v>6878</v>
      </c>
      <c r="L17" s="31">
        <v>0</v>
      </c>
      <c r="M17" s="31">
        <v>6878</v>
      </c>
      <c r="N17" s="31">
        <v>0</v>
      </c>
      <c r="O17" s="32">
        <v>0</v>
      </c>
      <c r="P17" s="33">
        <f>K17/I17*100</f>
        <v>98.25714285714285</v>
      </c>
      <c r="Q17" s="28"/>
    </row>
    <row r="18" spans="1:17" ht="18" customHeight="1">
      <c r="A18" s="24" t="s">
        <v>38</v>
      </c>
      <c r="B18" s="24"/>
      <c r="C18" s="25" t="s">
        <v>39</v>
      </c>
      <c r="D18" s="26">
        <f>SUM(D19)</f>
        <v>200</v>
      </c>
      <c r="E18" s="26" t="e">
        <f aca="true" t="shared" si="2" ref="E18:O18">SUM(E19)</f>
        <v>#REF!</v>
      </c>
      <c r="F18" s="26" t="e">
        <f t="shared" si="2"/>
        <v>#REF!</v>
      </c>
      <c r="G18" s="26" t="e">
        <f t="shared" si="2"/>
        <v>#REF!</v>
      </c>
      <c r="H18" s="26" t="e">
        <f t="shared" si="2"/>
        <v>#REF!</v>
      </c>
      <c r="I18" s="26">
        <f t="shared" si="2"/>
        <v>0</v>
      </c>
      <c r="J18" s="26">
        <f t="shared" si="2"/>
        <v>0</v>
      </c>
      <c r="K18" s="26">
        <f t="shared" si="2"/>
        <v>0</v>
      </c>
      <c r="L18" s="26">
        <f t="shared" si="2"/>
        <v>0</v>
      </c>
      <c r="M18" s="26">
        <f t="shared" si="2"/>
        <v>0</v>
      </c>
      <c r="N18" s="26">
        <f t="shared" si="2"/>
        <v>0</v>
      </c>
      <c r="O18" s="26">
        <f t="shared" si="2"/>
        <v>0</v>
      </c>
      <c r="P18" s="27">
        <v>0</v>
      </c>
      <c r="Q18" s="28"/>
    </row>
    <row r="19" spans="1:17" ht="18" customHeight="1">
      <c r="A19" s="29" t="s">
        <v>38</v>
      </c>
      <c r="B19" s="29" t="s">
        <v>40</v>
      </c>
      <c r="C19" s="30" t="s">
        <v>41</v>
      </c>
      <c r="D19" s="31">
        <v>200</v>
      </c>
      <c r="E19" s="31" t="e">
        <f>#REF!</f>
        <v>#REF!</v>
      </c>
      <c r="F19" s="31" t="e">
        <f>#REF!</f>
        <v>#REF!</v>
      </c>
      <c r="G19" s="31" t="e">
        <f>#REF!</f>
        <v>#REF!</v>
      </c>
      <c r="H19" s="32" t="e">
        <f>#REF!</f>
        <v>#REF!</v>
      </c>
      <c r="I19" s="31">
        <v>0</v>
      </c>
      <c r="J19" s="31">
        <v>0</v>
      </c>
      <c r="K19" s="31">
        <v>0</v>
      </c>
      <c r="L19" s="31">
        <v>0</v>
      </c>
      <c r="M19" s="31"/>
      <c r="N19" s="31">
        <v>0</v>
      </c>
      <c r="O19" s="32">
        <v>0</v>
      </c>
      <c r="P19" s="33">
        <v>0</v>
      </c>
      <c r="Q19" s="28"/>
    </row>
    <row r="20" spans="1:17" ht="18" customHeight="1">
      <c r="A20" s="24" t="s">
        <v>42</v>
      </c>
      <c r="B20" s="24"/>
      <c r="C20" s="25" t="s">
        <v>43</v>
      </c>
      <c r="D20" s="26">
        <f>SUM(D21:D25)</f>
        <v>6629649</v>
      </c>
      <c r="E20" s="26" t="e">
        <f aca="true" t="shared" si="3" ref="E20:O20">SUM(E21:E25)</f>
        <v>#REF!</v>
      </c>
      <c r="F20" s="26" t="e">
        <f t="shared" si="3"/>
        <v>#REF!</v>
      </c>
      <c r="G20" s="26" t="e">
        <f t="shared" si="3"/>
        <v>#REF!</v>
      </c>
      <c r="H20" s="26" t="e">
        <f t="shared" si="3"/>
        <v>#REF!</v>
      </c>
      <c r="I20" s="26">
        <f t="shared" si="3"/>
        <v>7652097</v>
      </c>
      <c r="J20" s="26">
        <f t="shared" si="3"/>
        <v>6309462</v>
      </c>
      <c r="K20" s="26">
        <f t="shared" si="3"/>
        <v>7625885</v>
      </c>
      <c r="L20" s="26">
        <f t="shared" si="3"/>
        <v>0</v>
      </c>
      <c r="M20" s="26">
        <f t="shared" si="3"/>
        <v>6512413</v>
      </c>
      <c r="N20" s="26">
        <f t="shared" si="3"/>
        <v>0</v>
      </c>
      <c r="O20" s="26">
        <f t="shared" si="3"/>
        <v>1113472</v>
      </c>
      <c r="P20" s="27">
        <f aca="true" t="shared" si="4" ref="P20:P56">K20/I20*100</f>
        <v>99.65745337519898</v>
      </c>
      <c r="Q20" s="28"/>
    </row>
    <row r="21" spans="1:17" ht="18" customHeight="1">
      <c r="A21" s="29">
        <v>600</v>
      </c>
      <c r="B21" s="36">
        <v>60004</v>
      </c>
      <c r="C21" s="30" t="s">
        <v>44</v>
      </c>
      <c r="D21" s="31">
        <v>2533199</v>
      </c>
      <c r="E21" s="31" t="e">
        <f>#REF!</f>
        <v>#REF!</v>
      </c>
      <c r="F21" s="31" t="e">
        <f>#REF!</f>
        <v>#REF!</v>
      </c>
      <c r="G21" s="31" t="e">
        <f>#REF!</f>
        <v>#REF!</v>
      </c>
      <c r="H21" s="32" t="e">
        <f>#REF!</f>
        <v>#REF!</v>
      </c>
      <c r="I21" s="31">
        <v>4068387</v>
      </c>
      <c r="J21" s="31">
        <v>2803207</v>
      </c>
      <c r="K21" s="31">
        <v>4068387</v>
      </c>
      <c r="L21" s="31">
        <v>0</v>
      </c>
      <c r="M21" s="31">
        <v>4068387</v>
      </c>
      <c r="N21" s="31">
        <v>0</v>
      </c>
      <c r="O21" s="32">
        <v>0</v>
      </c>
      <c r="P21" s="33">
        <f t="shared" si="4"/>
        <v>100</v>
      </c>
      <c r="Q21" s="28"/>
    </row>
    <row r="22" spans="1:17" ht="18" customHeight="1">
      <c r="A22" s="29">
        <v>600</v>
      </c>
      <c r="B22" s="29">
        <v>60015</v>
      </c>
      <c r="C22" s="30" t="s">
        <v>45</v>
      </c>
      <c r="D22" s="31">
        <v>1673373</v>
      </c>
      <c r="E22" s="31" t="e">
        <f>#REF!</f>
        <v>#REF!</v>
      </c>
      <c r="F22" s="31" t="e">
        <f>#REF!</f>
        <v>#REF!</v>
      </c>
      <c r="G22" s="31" t="e">
        <f>#REF!</f>
        <v>#REF!</v>
      </c>
      <c r="H22" s="32" t="e">
        <f>#REF!</f>
        <v>#REF!</v>
      </c>
      <c r="I22" s="31">
        <v>1423876</v>
      </c>
      <c r="J22" s="31">
        <v>1480676</v>
      </c>
      <c r="K22" s="31">
        <v>1399105</v>
      </c>
      <c r="L22" s="31">
        <v>0</v>
      </c>
      <c r="M22" s="31">
        <v>383630</v>
      </c>
      <c r="N22" s="31">
        <v>0</v>
      </c>
      <c r="O22" s="32">
        <v>1015475</v>
      </c>
      <c r="P22" s="33">
        <f t="shared" si="4"/>
        <v>98.2603119934601</v>
      </c>
      <c r="Q22" s="28"/>
    </row>
    <row r="23" spans="1:17" ht="18" customHeight="1">
      <c r="A23" s="29">
        <v>600</v>
      </c>
      <c r="B23" s="29">
        <v>60016</v>
      </c>
      <c r="C23" s="30" t="s">
        <v>46</v>
      </c>
      <c r="D23" s="31">
        <v>128493</v>
      </c>
      <c r="E23" s="31" t="e">
        <f>#REF!</f>
        <v>#REF!</v>
      </c>
      <c r="F23" s="31" t="e">
        <f>#REF!</f>
        <v>#REF!</v>
      </c>
      <c r="G23" s="31" t="e">
        <f>#REF!</f>
        <v>#REF!</v>
      </c>
      <c r="H23" s="32" t="e">
        <f>#REF!</f>
        <v>#REF!</v>
      </c>
      <c r="I23" s="31">
        <v>127184</v>
      </c>
      <c r="J23" s="31">
        <v>153383</v>
      </c>
      <c r="K23" s="31">
        <v>127171</v>
      </c>
      <c r="L23" s="31">
        <v>0</v>
      </c>
      <c r="M23" s="31">
        <v>29174</v>
      </c>
      <c r="N23" s="31">
        <v>0</v>
      </c>
      <c r="O23" s="32">
        <v>97997</v>
      </c>
      <c r="P23" s="33">
        <f t="shared" si="4"/>
        <v>99.9897785885017</v>
      </c>
      <c r="Q23" s="28"/>
    </row>
    <row r="24" spans="1:17" ht="18" customHeight="1">
      <c r="A24" s="29">
        <v>600</v>
      </c>
      <c r="B24" s="29">
        <v>60017</v>
      </c>
      <c r="C24" s="30" t="s">
        <v>47</v>
      </c>
      <c r="D24" s="31">
        <v>0</v>
      </c>
      <c r="E24" s="31"/>
      <c r="F24" s="31"/>
      <c r="G24" s="31"/>
      <c r="H24" s="32"/>
      <c r="I24" s="31">
        <v>54976</v>
      </c>
      <c r="J24" s="31"/>
      <c r="K24" s="31">
        <v>54968</v>
      </c>
      <c r="L24" s="31">
        <v>0</v>
      </c>
      <c r="M24" s="31">
        <v>54968</v>
      </c>
      <c r="N24" s="31">
        <v>0</v>
      </c>
      <c r="O24" s="32">
        <v>0</v>
      </c>
      <c r="P24" s="33">
        <f t="shared" si="4"/>
        <v>99.98544819557625</v>
      </c>
      <c r="Q24" s="28"/>
    </row>
    <row r="25" spans="1:17" ht="18" customHeight="1">
      <c r="A25" s="29">
        <v>600</v>
      </c>
      <c r="B25" s="29">
        <v>60095</v>
      </c>
      <c r="C25" s="30" t="s">
        <v>31</v>
      </c>
      <c r="D25" s="31">
        <v>2294584</v>
      </c>
      <c r="E25" s="31" t="e">
        <f>#REF!</f>
        <v>#REF!</v>
      </c>
      <c r="F25" s="31" t="e">
        <f>#REF!</f>
        <v>#REF!</v>
      </c>
      <c r="G25" s="31" t="e">
        <f>#REF!</f>
        <v>#REF!</v>
      </c>
      <c r="H25" s="32" t="e">
        <f>#REF!</f>
        <v>#REF!</v>
      </c>
      <c r="I25" s="31">
        <v>1977674</v>
      </c>
      <c r="J25" s="31">
        <v>1872196</v>
      </c>
      <c r="K25" s="31">
        <v>1976254</v>
      </c>
      <c r="L25" s="31">
        <v>0</v>
      </c>
      <c r="M25" s="31">
        <v>1976254</v>
      </c>
      <c r="N25" s="31">
        <v>0</v>
      </c>
      <c r="O25" s="32">
        <v>0</v>
      </c>
      <c r="P25" s="33">
        <f t="shared" si="4"/>
        <v>99.92819847962808</v>
      </c>
      <c r="Q25" s="28"/>
    </row>
    <row r="26" spans="1:17" ht="18" customHeight="1">
      <c r="A26" s="24" t="s">
        <v>48</v>
      </c>
      <c r="B26" s="24"/>
      <c r="C26" s="25" t="s">
        <v>49</v>
      </c>
      <c r="D26" s="26">
        <f>SUM(D27)</f>
        <v>15000</v>
      </c>
      <c r="E26" s="26" t="e">
        <f aca="true" t="shared" si="5" ref="E26:O26">SUM(E27)</f>
        <v>#REF!</v>
      </c>
      <c r="F26" s="26" t="e">
        <f t="shared" si="5"/>
        <v>#REF!</v>
      </c>
      <c r="G26" s="26" t="e">
        <f t="shared" si="5"/>
        <v>#REF!</v>
      </c>
      <c r="H26" s="26" t="e">
        <f t="shared" si="5"/>
        <v>#REF!</v>
      </c>
      <c r="I26" s="26">
        <f t="shared" si="5"/>
        <v>5000</v>
      </c>
      <c r="J26" s="26">
        <f t="shared" si="5"/>
        <v>0</v>
      </c>
      <c r="K26" s="26">
        <f t="shared" si="5"/>
        <v>5000</v>
      </c>
      <c r="L26" s="26">
        <f t="shared" si="5"/>
        <v>0</v>
      </c>
      <c r="M26" s="26">
        <f t="shared" si="5"/>
        <v>5000</v>
      </c>
      <c r="N26" s="26">
        <f t="shared" si="5"/>
        <v>0</v>
      </c>
      <c r="O26" s="26">
        <f t="shared" si="5"/>
        <v>0</v>
      </c>
      <c r="P26" s="27">
        <f t="shared" si="4"/>
        <v>100</v>
      </c>
      <c r="Q26" s="28"/>
    </row>
    <row r="27" spans="1:17" ht="12.75">
      <c r="A27" s="37">
        <v>630</v>
      </c>
      <c r="B27" s="37">
        <v>63003</v>
      </c>
      <c r="C27" s="30" t="s">
        <v>50</v>
      </c>
      <c r="D27" s="31">
        <v>15000</v>
      </c>
      <c r="E27" s="31" t="e">
        <f>#REF!</f>
        <v>#REF!</v>
      </c>
      <c r="F27" s="31" t="e">
        <f>#REF!</f>
        <v>#REF!</v>
      </c>
      <c r="G27" s="31" t="e">
        <f>#REF!</f>
        <v>#REF!</v>
      </c>
      <c r="H27" s="32" t="e">
        <f>#REF!</f>
        <v>#REF!</v>
      </c>
      <c r="I27" s="31">
        <v>5000</v>
      </c>
      <c r="J27" s="31">
        <v>0</v>
      </c>
      <c r="K27" s="31">
        <v>5000</v>
      </c>
      <c r="L27" s="31">
        <v>0</v>
      </c>
      <c r="M27" s="31">
        <v>5000</v>
      </c>
      <c r="N27" s="31">
        <v>0</v>
      </c>
      <c r="O27" s="32">
        <v>0</v>
      </c>
      <c r="P27" s="33">
        <f t="shared" si="4"/>
        <v>100</v>
      </c>
      <c r="Q27" s="28"/>
    </row>
    <row r="28" spans="1:17" ht="18" customHeight="1">
      <c r="A28" s="24" t="s">
        <v>51</v>
      </c>
      <c r="B28" s="24"/>
      <c r="C28" s="25" t="s">
        <v>52</v>
      </c>
      <c r="D28" s="26">
        <f>SUM(D29:D32)</f>
        <v>4506270</v>
      </c>
      <c r="E28" s="26" t="e">
        <f aca="true" t="shared" si="6" ref="E28:O28">SUM(E29:E32)</f>
        <v>#REF!</v>
      </c>
      <c r="F28" s="26" t="e">
        <f t="shared" si="6"/>
        <v>#REF!</v>
      </c>
      <c r="G28" s="26" t="e">
        <f t="shared" si="6"/>
        <v>#REF!</v>
      </c>
      <c r="H28" s="26" t="e">
        <f t="shared" si="6"/>
        <v>#REF!</v>
      </c>
      <c r="I28" s="26">
        <f t="shared" si="6"/>
        <v>6895963</v>
      </c>
      <c r="J28" s="26">
        <f t="shared" si="6"/>
        <v>7515856</v>
      </c>
      <c r="K28" s="26">
        <f t="shared" si="6"/>
        <v>6892665</v>
      </c>
      <c r="L28" s="26">
        <f t="shared" si="6"/>
        <v>0</v>
      </c>
      <c r="M28" s="26">
        <f t="shared" si="6"/>
        <v>313493</v>
      </c>
      <c r="N28" s="26">
        <f t="shared" si="6"/>
        <v>2400000</v>
      </c>
      <c r="O28" s="26">
        <f t="shared" si="6"/>
        <v>4179172</v>
      </c>
      <c r="P28" s="27">
        <f t="shared" si="4"/>
        <v>99.95217491741182</v>
      </c>
      <c r="Q28" s="28"/>
    </row>
    <row r="29" spans="1:17" ht="18" customHeight="1">
      <c r="A29" s="29">
        <v>700</v>
      </c>
      <c r="B29" s="29">
        <v>70001</v>
      </c>
      <c r="C29" s="30" t="s">
        <v>53</v>
      </c>
      <c r="D29" s="31">
        <v>1480000</v>
      </c>
      <c r="E29" s="31" t="e">
        <f>#REF!</f>
        <v>#REF!</v>
      </c>
      <c r="F29" s="31" t="e">
        <f>#REF!</f>
        <v>#REF!</v>
      </c>
      <c r="G29" s="31" t="e">
        <f>#REF!</f>
        <v>#REF!</v>
      </c>
      <c r="H29" s="32" t="e">
        <f>#REF!</f>
        <v>#REF!</v>
      </c>
      <c r="I29" s="31">
        <v>2400000</v>
      </c>
      <c r="J29" s="31">
        <v>300000</v>
      </c>
      <c r="K29" s="31">
        <v>2400000</v>
      </c>
      <c r="L29" s="31">
        <v>0</v>
      </c>
      <c r="M29" s="31">
        <v>0</v>
      </c>
      <c r="N29" s="31">
        <v>2400000</v>
      </c>
      <c r="O29" s="32">
        <v>0</v>
      </c>
      <c r="P29" s="33">
        <f t="shared" si="4"/>
        <v>100</v>
      </c>
      <c r="Q29" s="28"/>
    </row>
    <row r="30" spans="1:17" ht="18" customHeight="1">
      <c r="A30" s="29">
        <v>700</v>
      </c>
      <c r="B30" s="29">
        <v>70005</v>
      </c>
      <c r="C30" s="30" t="s">
        <v>54</v>
      </c>
      <c r="D30" s="31">
        <v>951770</v>
      </c>
      <c r="E30" s="31" t="e">
        <f>#REF!</f>
        <v>#REF!</v>
      </c>
      <c r="F30" s="31" t="e">
        <f>#REF!</f>
        <v>#REF!</v>
      </c>
      <c r="G30" s="31" t="e">
        <f>#REF!</f>
        <v>#REF!</v>
      </c>
      <c r="H30" s="32" t="e">
        <f>#REF!</f>
        <v>#REF!</v>
      </c>
      <c r="I30" s="31">
        <f>1178162-32384</f>
        <v>1145778</v>
      </c>
      <c r="J30" s="31">
        <f>4045109-10431</f>
        <v>4034678</v>
      </c>
      <c r="K30" s="31">
        <f>1176212-32348</f>
        <v>1143864</v>
      </c>
      <c r="L30" s="31">
        <v>0</v>
      </c>
      <c r="M30" s="31">
        <f>16508+3707+22673+179937+13993-32348</f>
        <v>204470</v>
      </c>
      <c r="N30" s="31">
        <v>0</v>
      </c>
      <c r="O30" s="32">
        <v>939394</v>
      </c>
      <c r="P30" s="33">
        <f t="shared" si="4"/>
        <v>99.832951933097</v>
      </c>
      <c r="Q30" s="28"/>
    </row>
    <row r="31" spans="1:17" ht="18" customHeight="1">
      <c r="A31" s="29">
        <v>700</v>
      </c>
      <c r="B31" s="29">
        <v>70021</v>
      </c>
      <c r="C31" s="30" t="s">
        <v>55</v>
      </c>
      <c r="D31" s="31">
        <v>1854500</v>
      </c>
      <c r="E31" s="31"/>
      <c r="F31" s="31"/>
      <c r="G31" s="31"/>
      <c r="H31" s="32"/>
      <c r="I31" s="31">
        <v>3034500</v>
      </c>
      <c r="J31" s="31">
        <v>3034500</v>
      </c>
      <c r="K31" s="31">
        <v>3034500</v>
      </c>
      <c r="L31" s="31">
        <v>0</v>
      </c>
      <c r="M31" s="31">
        <v>0</v>
      </c>
      <c r="N31" s="31">
        <v>0</v>
      </c>
      <c r="O31" s="32">
        <v>3034500</v>
      </c>
      <c r="P31" s="33">
        <f t="shared" si="4"/>
        <v>100</v>
      </c>
      <c r="Q31" s="28"/>
    </row>
    <row r="32" spans="1:17" ht="18" customHeight="1">
      <c r="A32" s="29">
        <v>700</v>
      </c>
      <c r="B32" s="29">
        <v>70095</v>
      </c>
      <c r="C32" s="30" t="s">
        <v>31</v>
      </c>
      <c r="D32" s="31">
        <v>220000</v>
      </c>
      <c r="E32" s="31" t="e">
        <f>#REF!</f>
        <v>#REF!</v>
      </c>
      <c r="F32" s="31" t="e">
        <f>#REF!</f>
        <v>#REF!</v>
      </c>
      <c r="G32" s="31" t="e">
        <f>#REF!</f>
        <v>#REF!</v>
      </c>
      <c r="H32" s="32" t="e">
        <f>#REF!</f>
        <v>#REF!</v>
      </c>
      <c r="I32" s="31">
        <v>315685</v>
      </c>
      <c r="J32" s="31">
        <v>146678</v>
      </c>
      <c r="K32" s="31">
        <v>314301</v>
      </c>
      <c r="L32" s="31">
        <v>0</v>
      </c>
      <c r="M32" s="31">
        <f>30280+78743</f>
        <v>109023</v>
      </c>
      <c r="N32" s="31">
        <v>0</v>
      </c>
      <c r="O32" s="32">
        <f>85278+120000</f>
        <v>205278</v>
      </c>
      <c r="P32" s="33">
        <f t="shared" si="4"/>
        <v>99.56158829212664</v>
      </c>
      <c r="Q32" s="28"/>
    </row>
    <row r="33" spans="1:17" ht="18" customHeight="1">
      <c r="A33" s="24" t="s">
        <v>56</v>
      </c>
      <c r="B33" s="24"/>
      <c r="C33" s="25" t="s">
        <v>57</v>
      </c>
      <c r="D33" s="38">
        <f>SUM(D34:D39)</f>
        <v>660850</v>
      </c>
      <c r="E33" s="38" t="e">
        <f aca="true" t="shared" si="7" ref="E33:O33">SUM(E34:E39)</f>
        <v>#REF!</v>
      </c>
      <c r="F33" s="38" t="e">
        <f t="shared" si="7"/>
        <v>#REF!</v>
      </c>
      <c r="G33" s="38" t="e">
        <f t="shared" si="7"/>
        <v>#REF!</v>
      </c>
      <c r="H33" s="38" t="e">
        <f t="shared" si="7"/>
        <v>#REF!</v>
      </c>
      <c r="I33" s="38">
        <f t="shared" si="7"/>
        <v>441026</v>
      </c>
      <c r="J33" s="38">
        <f t="shared" si="7"/>
        <v>243553</v>
      </c>
      <c r="K33" s="38">
        <f t="shared" si="7"/>
        <v>440470</v>
      </c>
      <c r="L33" s="38">
        <f t="shared" si="7"/>
        <v>35848</v>
      </c>
      <c r="M33" s="38">
        <f t="shared" si="7"/>
        <v>240820</v>
      </c>
      <c r="N33" s="38">
        <f t="shared" si="7"/>
        <v>0</v>
      </c>
      <c r="O33" s="39">
        <f t="shared" si="7"/>
        <v>163802</v>
      </c>
      <c r="P33" s="27">
        <f t="shared" si="4"/>
        <v>99.87393033517297</v>
      </c>
      <c r="Q33" s="28"/>
    </row>
    <row r="34" spans="1:17" ht="12.75">
      <c r="A34" s="29">
        <v>710</v>
      </c>
      <c r="B34" s="29">
        <v>71002</v>
      </c>
      <c r="C34" s="30" t="s">
        <v>58</v>
      </c>
      <c r="D34" s="31">
        <v>58000</v>
      </c>
      <c r="E34" s="31" t="e">
        <f>#REF!</f>
        <v>#REF!</v>
      </c>
      <c r="F34" s="31" t="e">
        <f>#REF!</f>
        <v>#REF!</v>
      </c>
      <c r="G34" s="31" t="e">
        <f>#REF!</f>
        <v>#REF!</v>
      </c>
      <c r="H34" s="32" t="e">
        <f>#REF!</f>
        <v>#REF!</v>
      </c>
      <c r="I34" s="31">
        <v>95408</v>
      </c>
      <c r="J34" s="31">
        <v>34026</v>
      </c>
      <c r="K34" s="31">
        <v>95381</v>
      </c>
      <c r="L34" s="31">
        <v>0</v>
      </c>
      <c r="M34" s="31">
        <v>95381</v>
      </c>
      <c r="N34" s="31">
        <v>0</v>
      </c>
      <c r="O34" s="32">
        <v>0</v>
      </c>
      <c r="P34" s="33">
        <f t="shared" si="4"/>
        <v>99.97170048633238</v>
      </c>
      <c r="Q34" s="28"/>
    </row>
    <row r="35" spans="1:17" ht="18" customHeight="1">
      <c r="A35" s="29">
        <v>710</v>
      </c>
      <c r="B35" s="29">
        <v>71004</v>
      </c>
      <c r="C35" s="40" t="s">
        <v>59</v>
      </c>
      <c r="D35" s="31">
        <v>325000</v>
      </c>
      <c r="E35" s="31" t="e">
        <f>#REF!</f>
        <v>#REF!</v>
      </c>
      <c r="F35" s="31" t="e">
        <f>#REF!</f>
        <v>#REF!</v>
      </c>
      <c r="G35" s="31" t="e">
        <f>#REF!</f>
        <v>#REF!</v>
      </c>
      <c r="H35" s="32" t="e">
        <f>#REF!</f>
        <v>#REF!</v>
      </c>
      <c r="I35" s="31">
        <v>167095</v>
      </c>
      <c r="J35" s="31">
        <v>22875</v>
      </c>
      <c r="K35" s="31">
        <v>166578</v>
      </c>
      <c r="L35" s="31">
        <v>0</v>
      </c>
      <c r="M35" s="31">
        <v>2776</v>
      </c>
      <c r="N35" s="31">
        <v>0</v>
      </c>
      <c r="O35" s="32">
        <f>36600+127202</f>
        <v>163802</v>
      </c>
      <c r="P35" s="33">
        <f t="shared" si="4"/>
        <v>99.69059517041204</v>
      </c>
      <c r="Q35" s="28"/>
    </row>
    <row r="36" spans="1:17" ht="12.75">
      <c r="A36" s="29">
        <v>710</v>
      </c>
      <c r="B36" s="29">
        <v>71014</v>
      </c>
      <c r="C36" s="30" t="s">
        <v>60</v>
      </c>
      <c r="D36" s="31">
        <v>155000</v>
      </c>
      <c r="E36" s="31" t="e">
        <f>#REF!</f>
        <v>#REF!</v>
      </c>
      <c r="F36" s="31" t="e">
        <f>#REF!</f>
        <v>#REF!</v>
      </c>
      <c r="G36" s="31" t="e">
        <f>#REF!</f>
        <v>#REF!</v>
      </c>
      <c r="H36" s="32" t="e">
        <f>#REF!</f>
        <v>#REF!</v>
      </c>
      <c r="I36" s="31">
        <f>118398-8692</f>
        <v>109706</v>
      </c>
      <c r="J36" s="31">
        <f>151972</f>
        <v>151972</v>
      </c>
      <c r="K36" s="31">
        <f>117879-8174</f>
        <v>109705</v>
      </c>
      <c r="L36" s="31">
        <v>0</v>
      </c>
      <c r="M36" s="31">
        <f>117879-8174</f>
        <v>109705</v>
      </c>
      <c r="N36" s="31">
        <v>0</v>
      </c>
      <c r="O36" s="32">
        <v>0</v>
      </c>
      <c r="P36" s="33">
        <f t="shared" si="4"/>
        <v>99.99908847282738</v>
      </c>
      <c r="Q36" s="28"/>
    </row>
    <row r="37" spans="1:17" ht="18" customHeight="1">
      <c r="A37" s="29">
        <v>710</v>
      </c>
      <c r="B37" s="29">
        <v>71015</v>
      </c>
      <c r="C37" s="30" t="s">
        <v>61</v>
      </c>
      <c r="D37" s="31">
        <v>50850</v>
      </c>
      <c r="E37" s="31"/>
      <c r="F37" s="31"/>
      <c r="G37" s="31"/>
      <c r="H37" s="32"/>
      <c r="I37" s="31">
        <f>236852-186002</f>
        <v>50850</v>
      </c>
      <c r="J37" s="31">
        <f>170032-147419</f>
        <v>22613</v>
      </c>
      <c r="K37" s="31">
        <f>236838-185994</f>
        <v>50844</v>
      </c>
      <c r="L37" s="41">
        <f>74333+66921+7678+26414+3643-143141</f>
        <v>35848</v>
      </c>
      <c r="M37" s="41">
        <f>21776+3012+55+6809+4619+3583-24858</f>
        <v>14996</v>
      </c>
      <c r="N37" s="31">
        <v>0</v>
      </c>
      <c r="O37" s="32">
        <v>0</v>
      </c>
      <c r="P37" s="33">
        <f t="shared" si="4"/>
        <v>99.9882005899705</v>
      </c>
      <c r="Q37" s="28"/>
    </row>
    <row r="38" spans="1:17" ht="18" customHeight="1">
      <c r="A38" s="29">
        <v>710</v>
      </c>
      <c r="B38" s="29">
        <v>71035</v>
      </c>
      <c r="C38" s="30" t="s">
        <v>62</v>
      </c>
      <c r="D38" s="31">
        <v>62000</v>
      </c>
      <c r="E38" s="31"/>
      <c r="F38" s="31"/>
      <c r="G38" s="31"/>
      <c r="H38" s="32"/>
      <c r="I38" s="31">
        <v>12000</v>
      </c>
      <c r="J38" s="31">
        <v>11995</v>
      </c>
      <c r="K38" s="31">
        <v>11995</v>
      </c>
      <c r="L38" s="31">
        <v>0</v>
      </c>
      <c r="M38" s="31">
        <v>11995</v>
      </c>
      <c r="N38" s="31">
        <v>0</v>
      </c>
      <c r="O38" s="32">
        <v>0</v>
      </c>
      <c r="P38" s="33">
        <f t="shared" si="4"/>
        <v>99.95833333333334</v>
      </c>
      <c r="Q38" s="28"/>
    </row>
    <row r="39" spans="1:17" ht="18" customHeight="1">
      <c r="A39" s="29">
        <v>710</v>
      </c>
      <c r="B39" s="29">
        <v>71095</v>
      </c>
      <c r="C39" s="30" t="s">
        <v>31</v>
      </c>
      <c r="D39" s="31">
        <v>10000</v>
      </c>
      <c r="E39" s="31" t="e">
        <f>#REF!</f>
        <v>#REF!</v>
      </c>
      <c r="F39" s="31" t="e">
        <f>#REF!</f>
        <v>#REF!</v>
      </c>
      <c r="G39" s="31" t="e">
        <f>#REF!</f>
        <v>#REF!</v>
      </c>
      <c r="H39" s="32" t="e">
        <f>#REF!</f>
        <v>#REF!</v>
      </c>
      <c r="I39" s="31">
        <v>5967</v>
      </c>
      <c r="J39" s="31">
        <v>72</v>
      </c>
      <c r="K39" s="31">
        <v>5967</v>
      </c>
      <c r="L39" s="31">
        <v>0</v>
      </c>
      <c r="M39" s="31">
        <v>5967</v>
      </c>
      <c r="N39" s="31">
        <v>0</v>
      </c>
      <c r="O39" s="32">
        <v>0</v>
      </c>
      <c r="P39" s="33">
        <f t="shared" si="4"/>
        <v>100</v>
      </c>
      <c r="Q39" s="28"/>
    </row>
    <row r="40" spans="1:17" ht="18" customHeight="1">
      <c r="A40" s="24" t="s">
        <v>63</v>
      </c>
      <c r="B40" s="24"/>
      <c r="C40" s="25" t="s">
        <v>64</v>
      </c>
      <c r="D40" s="26">
        <f aca="true" t="shared" si="8" ref="D40:O40">SUM(D41:D44)</f>
        <v>12677030</v>
      </c>
      <c r="E40" s="26" t="e">
        <f t="shared" si="8"/>
        <v>#REF!</v>
      </c>
      <c r="F40" s="26" t="e">
        <f t="shared" si="8"/>
        <v>#REF!</v>
      </c>
      <c r="G40" s="26" t="e">
        <f t="shared" si="8"/>
        <v>#REF!</v>
      </c>
      <c r="H40" s="26" t="e">
        <f t="shared" si="8"/>
        <v>#REF!</v>
      </c>
      <c r="I40" s="26">
        <f t="shared" si="8"/>
        <v>14077734</v>
      </c>
      <c r="J40" s="26">
        <f t="shared" si="8"/>
        <v>12165330</v>
      </c>
      <c r="K40" s="26">
        <f t="shared" si="8"/>
        <v>13400684</v>
      </c>
      <c r="L40" s="26">
        <f>SUM(L41:L44)</f>
        <v>8439770</v>
      </c>
      <c r="M40" s="26">
        <f>SUM(M41:M44)</f>
        <v>3983214</v>
      </c>
      <c r="N40" s="26">
        <f t="shared" si="8"/>
        <v>76000</v>
      </c>
      <c r="O40" s="42">
        <f t="shared" si="8"/>
        <v>901700</v>
      </c>
      <c r="P40" s="27">
        <f t="shared" si="4"/>
        <v>95.19063224237651</v>
      </c>
      <c r="Q40" s="28"/>
    </row>
    <row r="41" spans="1:17" ht="18" customHeight="1">
      <c r="A41" s="29">
        <v>750</v>
      </c>
      <c r="B41" s="29">
        <v>75020</v>
      </c>
      <c r="C41" s="30" t="s">
        <v>65</v>
      </c>
      <c r="D41" s="31">
        <v>622000</v>
      </c>
      <c r="E41" s="31" t="e">
        <f>#REF!</f>
        <v>#REF!</v>
      </c>
      <c r="F41" s="31" t="e">
        <f>#REF!</f>
        <v>#REF!</v>
      </c>
      <c r="G41" s="31" t="e">
        <f>#REF!</f>
        <v>#REF!</v>
      </c>
      <c r="H41" s="32" t="e">
        <f>#REF!</f>
        <v>#REF!</v>
      </c>
      <c r="I41" s="31">
        <v>682000</v>
      </c>
      <c r="J41" s="31">
        <v>199005</v>
      </c>
      <c r="K41" s="31">
        <v>631336</v>
      </c>
      <c r="L41" s="31">
        <v>0</v>
      </c>
      <c r="M41" s="31">
        <v>631336</v>
      </c>
      <c r="N41" s="31">
        <v>0</v>
      </c>
      <c r="O41" s="32">
        <v>0</v>
      </c>
      <c r="P41" s="33">
        <f t="shared" si="4"/>
        <v>92.57126099706745</v>
      </c>
      <c r="Q41" s="28"/>
    </row>
    <row r="42" spans="1:17" ht="12.75">
      <c r="A42" s="29">
        <v>750</v>
      </c>
      <c r="B42" s="29">
        <v>75022</v>
      </c>
      <c r="C42" s="30" t="s">
        <v>66</v>
      </c>
      <c r="D42" s="31">
        <v>695250</v>
      </c>
      <c r="E42" s="31" t="e">
        <f>#REF!</f>
        <v>#REF!</v>
      </c>
      <c r="F42" s="31" t="e">
        <f>#REF!</f>
        <v>#REF!</v>
      </c>
      <c r="G42" s="31" t="e">
        <f>#REF!</f>
        <v>#REF!</v>
      </c>
      <c r="H42" s="32" t="e">
        <f>#REF!</f>
        <v>#REF!</v>
      </c>
      <c r="I42" s="31">
        <v>527546</v>
      </c>
      <c r="J42" s="31">
        <v>278009</v>
      </c>
      <c r="K42" s="31">
        <v>523121</v>
      </c>
      <c r="L42" s="31">
        <v>0</v>
      </c>
      <c r="M42" s="31">
        <f>523121-O42</f>
        <v>395245</v>
      </c>
      <c r="N42" s="31">
        <v>0</v>
      </c>
      <c r="O42" s="32">
        <v>127876</v>
      </c>
      <c r="P42" s="33">
        <f t="shared" si="4"/>
        <v>99.1612105863754</v>
      </c>
      <c r="Q42" s="28"/>
    </row>
    <row r="43" spans="1:17" ht="12.75">
      <c r="A43" s="29">
        <v>750</v>
      </c>
      <c r="B43" s="29">
        <v>75023</v>
      </c>
      <c r="C43" s="30" t="s">
        <v>67</v>
      </c>
      <c r="D43" s="31">
        <v>11198280</v>
      </c>
      <c r="E43" s="31" t="e">
        <f>#REF!</f>
        <v>#REF!</v>
      </c>
      <c r="F43" s="31" t="e">
        <f>#REF!</f>
        <v>#REF!</v>
      </c>
      <c r="G43" s="31" t="e">
        <f>#REF!</f>
        <v>#REF!</v>
      </c>
      <c r="H43" s="32" t="e">
        <f>#REF!</f>
        <v>#REF!</v>
      </c>
      <c r="I43" s="31">
        <v>12460098</v>
      </c>
      <c r="J43" s="31">
        <v>11458576</v>
      </c>
      <c r="K43" s="31">
        <v>11838399</v>
      </c>
      <c r="L43" s="31">
        <f>6575108+529478+1175355+158929</f>
        <v>8438870</v>
      </c>
      <c r="M43" s="31">
        <f>63409+15061+653082+240983+189170+5500+1095746+81307+3935+77954+194539+4989+30</f>
        <v>2625705</v>
      </c>
      <c r="N43" s="31">
        <v>0</v>
      </c>
      <c r="O43" s="32">
        <f>694824+79000</f>
        <v>773824</v>
      </c>
      <c r="P43" s="33">
        <f t="shared" si="4"/>
        <v>95.01048065593064</v>
      </c>
      <c r="Q43" s="28"/>
    </row>
    <row r="44" spans="1:17" ht="18" customHeight="1">
      <c r="A44" s="29">
        <v>750</v>
      </c>
      <c r="B44" s="43">
        <v>75095</v>
      </c>
      <c r="C44" s="44" t="s">
        <v>31</v>
      </c>
      <c r="D44" s="31">
        <v>161500</v>
      </c>
      <c r="E44" s="31" t="e">
        <f>#REF!</f>
        <v>#REF!</v>
      </c>
      <c r="F44" s="31" t="e">
        <f>#REF!</f>
        <v>#REF!</v>
      </c>
      <c r="G44" s="31" t="e">
        <f>#REF!</f>
        <v>#REF!</v>
      </c>
      <c r="H44" s="32" t="e">
        <f>#REF!</f>
        <v>#REF!</v>
      </c>
      <c r="I44" s="31">
        <v>408090</v>
      </c>
      <c r="J44" s="31">
        <v>229740</v>
      </c>
      <c r="K44" s="31">
        <v>407828</v>
      </c>
      <c r="L44" s="31">
        <f>788+112</f>
        <v>900</v>
      </c>
      <c r="M44" s="31">
        <f>23416+307512</f>
        <v>330928</v>
      </c>
      <c r="N44" s="31">
        <v>76000</v>
      </c>
      <c r="O44" s="32">
        <v>0</v>
      </c>
      <c r="P44" s="33">
        <f t="shared" si="4"/>
        <v>99.9357984758264</v>
      </c>
      <c r="Q44" s="28"/>
    </row>
    <row r="45" spans="1:17" ht="31.5" customHeight="1">
      <c r="A45" s="45">
        <v>754</v>
      </c>
      <c r="B45" s="45"/>
      <c r="C45" s="25" t="s">
        <v>68</v>
      </c>
      <c r="D45" s="26">
        <f>SUM(D46:D50)</f>
        <v>1748352</v>
      </c>
      <c r="E45" s="26">
        <f aca="true" t="shared" si="9" ref="E45:O45">SUM(E46:E50)</f>
        <v>0</v>
      </c>
      <c r="F45" s="26">
        <f t="shared" si="9"/>
        <v>0</v>
      </c>
      <c r="G45" s="26">
        <f t="shared" si="9"/>
        <v>0</v>
      </c>
      <c r="H45" s="26">
        <f t="shared" si="9"/>
        <v>0</v>
      </c>
      <c r="I45" s="26">
        <f t="shared" si="9"/>
        <v>1581486</v>
      </c>
      <c r="J45" s="26">
        <f t="shared" si="9"/>
        <v>774093</v>
      </c>
      <c r="K45" s="26">
        <f t="shared" si="9"/>
        <v>1407120</v>
      </c>
      <c r="L45" s="26">
        <f>SUM(L46:L50)</f>
        <v>915143</v>
      </c>
      <c r="M45" s="26">
        <f>SUM(M46:M50)</f>
        <v>311103</v>
      </c>
      <c r="N45" s="26">
        <f t="shared" si="9"/>
        <v>129000</v>
      </c>
      <c r="O45" s="42">
        <f t="shared" si="9"/>
        <v>51874</v>
      </c>
      <c r="P45" s="27">
        <f t="shared" si="4"/>
        <v>88.97454672377751</v>
      </c>
      <c r="Q45" s="28"/>
    </row>
    <row r="46" spans="1:17" ht="18" customHeight="1">
      <c r="A46" s="29">
        <v>754</v>
      </c>
      <c r="B46" s="29">
        <v>75405</v>
      </c>
      <c r="C46" s="30" t="s">
        <v>69</v>
      </c>
      <c r="D46" s="31">
        <v>374290</v>
      </c>
      <c r="E46" s="31"/>
      <c r="F46" s="31"/>
      <c r="G46" s="31"/>
      <c r="H46" s="32"/>
      <c r="I46" s="31">
        <v>163490</v>
      </c>
      <c r="J46" s="31">
        <v>86075</v>
      </c>
      <c r="K46" s="31">
        <v>162310</v>
      </c>
      <c r="L46" s="31">
        <f>103859+554+7365</f>
        <v>111778</v>
      </c>
      <c r="M46" s="31">
        <f>22463+600+1749+7000+200+1100+2200+4300+920+10000</f>
        <v>50532</v>
      </c>
      <c r="N46" s="31">
        <v>0</v>
      </c>
      <c r="O46" s="32">
        <v>0</v>
      </c>
      <c r="P46" s="33">
        <f t="shared" si="4"/>
        <v>99.27824331763411</v>
      </c>
      <c r="Q46" s="28"/>
    </row>
    <row r="47" spans="1:17" ht="12.75">
      <c r="A47" s="29">
        <v>754</v>
      </c>
      <c r="B47" s="29">
        <v>75411</v>
      </c>
      <c r="C47" s="30" t="s">
        <v>70</v>
      </c>
      <c r="D47" s="31">
        <v>104000</v>
      </c>
      <c r="E47" s="31"/>
      <c r="F47" s="31"/>
      <c r="G47" s="31"/>
      <c r="H47" s="32"/>
      <c r="I47" s="31">
        <f>2621850-2506300</f>
        <v>115550</v>
      </c>
      <c r="J47" s="31">
        <f>2224109-2184148</f>
        <v>39961</v>
      </c>
      <c r="K47" s="31">
        <f>2621841-2506294</f>
        <v>115547</v>
      </c>
      <c r="L47" s="31">
        <f>18868+1492+1677450+78652+126887+3971+535-1907855</f>
        <v>0</v>
      </c>
      <c r="M47" s="31">
        <f>308910+202615+50601+43499+6522+50000+16040+2150+696+453-598439</f>
        <v>83047</v>
      </c>
      <c r="N47" s="31">
        <v>0</v>
      </c>
      <c r="O47" s="32">
        <f>15000+17500</f>
        <v>32500</v>
      </c>
      <c r="P47" s="33">
        <f t="shared" si="4"/>
        <v>99.99740372133276</v>
      </c>
      <c r="Q47" s="28"/>
    </row>
    <row r="48" spans="1:17" ht="18" customHeight="1">
      <c r="A48" s="29">
        <v>754</v>
      </c>
      <c r="B48" s="29">
        <v>75412</v>
      </c>
      <c r="C48" s="30" t="s">
        <v>71</v>
      </c>
      <c r="D48" s="31">
        <v>120000</v>
      </c>
      <c r="E48" s="31"/>
      <c r="F48" s="31"/>
      <c r="G48" s="31"/>
      <c r="H48" s="32"/>
      <c r="I48" s="31">
        <v>168404</v>
      </c>
      <c r="J48" s="31">
        <v>102281</v>
      </c>
      <c r="K48" s="31">
        <v>168275</v>
      </c>
      <c r="L48" s="31">
        <v>0</v>
      </c>
      <c r="M48" s="31">
        <f>3162+14962+6747</f>
        <v>24871</v>
      </c>
      <c r="N48" s="31">
        <v>129000</v>
      </c>
      <c r="O48" s="32">
        <v>14404</v>
      </c>
      <c r="P48" s="33">
        <f t="shared" si="4"/>
        <v>99.92339849409753</v>
      </c>
      <c r="Q48" s="28"/>
    </row>
    <row r="49" spans="1:17" ht="18" customHeight="1">
      <c r="A49" s="29">
        <v>754</v>
      </c>
      <c r="B49" s="29">
        <v>75414</v>
      </c>
      <c r="C49" s="30" t="s">
        <v>72</v>
      </c>
      <c r="D49" s="31">
        <v>45700</v>
      </c>
      <c r="E49" s="31"/>
      <c r="F49" s="31"/>
      <c r="G49" s="31"/>
      <c r="H49" s="32"/>
      <c r="I49" s="31">
        <f>90398-31178</f>
        <v>59220</v>
      </c>
      <c r="J49" s="31">
        <f>57662-29178</f>
        <v>28484</v>
      </c>
      <c r="K49" s="31">
        <f>84498-31178</f>
        <v>53320</v>
      </c>
      <c r="L49" s="31">
        <f>24000+4500+678-29178</f>
        <v>0</v>
      </c>
      <c r="M49" s="31">
        <f>16571+570+2400+35643+136-2000</f>
        <v>53320</v>
      </c>
      <c r="N49" s="31">
        <v>0</v>
      </c>
      <c r="O49" s="32">
        <v>0</v>
      </c>
      <c r="P49" s="33">
        <f t="shared" si="4"/>
        <v>90.03714961161769</v>
      </c>
      <c r="Q49" s="28"/>
    </row>
    <row r="50" spans="1:17" ht="18" customHeight="1">
      <c r="A50" s="29">
        <v>754</v>
      </c>
      <c r="B50" s="29">
        <v>75416</v>
      </c>
      <c r="C50" s="30" t="s">
        <v>73</v>
      </c>
      <c r="D50" s="31">
        <v>1104362</v>
      </c>
      <c r="E50" s="31"/>
      <c r="F50" s="31"/>
      <c r="G50" s="31"/>
      <c r="H50" s="32"/>
      <c r="I50" s="31">
        <v>1074822</v>
      </c>
      <c r="J50" s="31">
        <v>517292</v>
      </c>
      <c r="K50" s="31">
        <v>907668</v>
      </c>
      <c r="L50" s="31">
        <f>626809+51334+111121+14101</f>
        <v>803365</v>
      </c>
      <c r="M50" s="31">
        <f>27183+38251+7865+4502+16678+1578+3276</f>
        <v>99333</v>
      </c>
      <c r="N50" s="35">
        <v>0</v>
      </c>
      <c r="O50" s="32">
        <v>4970</v>
      </c>
      <c r="P50" s="33">
        <f t="shared" si="4"/>
        <v>84.44821561151521</v>
      </c>
      <c r="Q50" s="28"/>
    </row>
    <row r="51" spans="1:17" ht="60" customHeight="1">
      <c r="A51" s="45">
        <v>756</v>
      </c>
      <c r="B51" s="45"/>
      <c r="C51" s="25" t="s">
        <v>74</v>
      </c>
      <c r="D51" s="26">
        <f>SUM(D52)</f>
        <v>50000</v>
      </c>
      <c r="E51" s="26">
        <f aca="true" t="shared" si="10" ref="E51:O51">SUM(E52)</f>
        <v>0</v>
      </c>
      <c r="F51" s="26">
        <f t="shared" si="10"/>
        <v>0</v>
      </c>
      <c r="G51" s="26">
        <f t="shared" si="10"/>
        <v>0</v>
      </c>
      <c r="H51" s="26">
        <f t="shared" si="10"/>
        <v>0</v>
      </c>
      <c r="I51" s="26">
        <f t="shared" si="10"/>
        <v>80000</v>
      </c>
      <c r="J51" s="26">
        <f t="shared" si="10"/>
        <v>29263</v>
      </c>
      <c r="K51" s="26">
        <f t="shared" si="10"/>
        <v>75232</v>
      </c>
      <c r="L51" s="26">
        <f t="shared" si="10"/>
        <v>0</v>
      </c>
      <c r="M51" s="26">
        <f t="shared" si="10"/>
        <v>75232</v>
      </c>
      <c r="N51" s="26">
        <f t="shared" si="10"/>
        <v>0</v>
      </c>
      <c r="O51" s="26">
        <f t="shared" si="10"/>
        <v>0</v>
      </c>
      <c r="P51" s="27">
        <f t="shared" si="4"/>
        <v>94.04</v>
      </c>
      <c r="Q51" s="28"/>
    </row>
    <row r="52" spans="1:17" ht="29.25" customHeight="1">
      <c r="A52" s="29">
        <v>756</v>
      </c>
      <c r="B52" s="29">
        <v>75647</v>
      </c>
      <c r="C52" s="30" t="s">
        <v>75</v>
      </c>
      <c r="D52" s="31">
        <v>50000</v>
      </c>
      <c r="E52" s="31"/>
      <c r="F52" s="31"/>
      <c r="G52" s="31"/>
      <c r="H52" s="32"/>
      <c r="I52" s="31">
        <v>80000</v>
      </c>
      <c r="J52" s="31">
        <v>29263</v>
      </c>
      <c r="K52" s="31">
        <v>75232</v>
      </c>
      <c r="L52" s="31">
        <v>0</v>
      </c>
      <c r="M52" s="31">
        <v>75232</v>
      </c>
      <c r="N52" s="31">
        <v>0</v>
      </c>
      <c r="O52" s="32">
        <v>0</v>
      </c>
      <c r="P52" s="33">
        <f t="shared" si="4"/>
        <v>94.04</v>
      </c>
      <c r="Q52" s="28"/>
    </row>
    <row r="53" spans="1:17" ht="18" customHeight="1">
      <c r="A53" s="45">
        <v>757</v>
      </c>
      <c r="B53" s="45"/>
      <c r="C53" s="25" t="s">
        <v>76</v>
      </c>
      <c r="D53" s="26">
        <f>SUM(D54)</f>
        <v>1550000</v>
      </c>
      <c r="E53" s="26" t="e">
        <f aca="true" t="shared" si="11" ref="E53:O53">SUM(E54)</f>
        <v>#REF!</v>
      </c>
      <c r="F53" s="26" t="e">
        <f t="shared" si="11"/>
        <v>#REF!</v>
      </c>
      <c r="G53" s="26" t="e">
        <f t="shared" si="11"/>
        <v>#REF!</v>
      </c>
      <c r="H53" s="26" t="e">
        <f t="shared" si="11"/>
        <v>#REF!</v>
      </c>
      <c r="I53" s="26">
        <f t="shared" si="11"/>
        <v>1415000</v>
      </c>
      <c r="J53" s="26">
        <f t="shared" si="11"/>
        <v>656879</v>
      </c>
      <c r="K53" s="26">
        <f t="shared" si="11"/>
        <v>1402762</v>
      </c>
      <c r="L53" s="26">
        <f t="shared" si="11"/>
        <v>0</v>
      </c>
      <c r="M53" s="26">
        <f t="shared" si="11"/>
        <v>1402762</v>
      </c>
      <c r="N53" s="26">
        <f t="shared" si="11"/>
        <v>0</v>
      </c>
      <c r="O53" s="26">
        <f t="shared" si="11"/>
        <v>0</v>
      </c>
      <c r="P53" s="27">
        <f t="shared" si="4"/>
        <v>99.13512367491167</v>
      </c>
      <c r="Q53" s="28"/>
    </row>
    <row r="54" spans="1:17" ht="28.5" customHeight="1">
      <c r="A54" s="29">
        <v>757</v>
      </c>
      <c r="B54" s="29">
        <v>75702</v>
      </c>
      <c r="C54" s="30" t="s">
        <v>77</v>
      </c>
      <c r="D54" s="31">
        <v>1550000</v>
      </c>
      <c r="E54" s="31" t="e">
        <f>#REF!</f>
        <v>#REF!</v>
      </c>
      <c r="F54" s="31" t="e">
        <f>#REF!</f>
        <v>#REF!</v>
      </c>
      <c r="G54" s="31" t="e">
        <f>#REF!</f>
        <v>#REF!</v>
      </c>
      <c r="H54" s="32" t="e">
        <f>#REF!</f>
        <v>#REF!</v>
      </c>
      <c r="I54" s="31">
        <v>1415000</v>
      </c>
      <c r="J54" s="31">
        <v>656879</v>
      </c>
      <c r="K54" s="31">
        <v>1402762</v>
      </c>
      <c r="L54" s="31">
        <v>0</v>
      </c>
      <c r="M54" s="31">
        <v>1402762</v>
      </c>
      <c r="N54" s="31">
        <v>0</v>
      </c>
      <c r="O54" s="32">
        <v>0</v>
      </c>
      <c r="P54" s="33">
        <f t="shared" si="4"/>
        <v>99.13512367491167</v>
      </c>
      <c r="Q54" s="28"/>
    </row>
    <row r="55" spans="1:17" ht="18" customHeight="1">
      <c r="A55" s="45">
        <v>758</v>
      </c>
      <c r="B55" s="29"/>
      <c r="C55" s="25" t="s">
        <v>78</v>
      </c>
      <c r="D55" s="26">
        <f>SUM(D56:D57)</f>
        <v>1244902</v>
      </c>
      <c r="E55" s="26" t="e">
        <f aca="true" t="shared" si="12" ref="E55:O55">SUM(E56:E57)</f>
        <v>#REF!</v>
      </c>
      <c r="F55" s="26" t="e">
        <f t="shared" si="12"/>
        <v>#REF!</v>
      </c>
      <c r="G55" s="26" t="e">
        <f t="shared" si="12"/>
        <v>#REF!</v>
      </c>
      <c r="H55" s="26" t="e">
        <f t="shared" si="12"/>
        <v>#REF!</v>
      </c>
      <c r="I55" s="26">
        <f t="shared" si="12"/>
        <v>664902</v>
      </c>
      <c r="J55" s="26">
        <f t="shared" si="12"/>
        <v>332284</v>
      </c>
      <c r="K55" s="26">
        <f t="shared" si="12"/>
        <v>664563</v>
      </c>
      <c r="L55" s="26">
        <f t="shared" si="12"/>
        <v>0</v>
      </c>
      <c r="M55" s="26">
        <f t="shared" si="12"/>
        <v>664563</v>
      </c>
      <c r="N55" s="26">
        <f t="shared" si="12"/>
        <v>0</v>
      </c>
      <c r="O55" s="26">
        <f t="shared" si="12"/>
        <v>0</v>
      </c>
      <c r="P55" s="27">
        <f t="shared" si="4"/>
        <v>99.94901504281835</v>
      </c>
      <c r="Q55" s="28"/>
    </row>
    <row r="56" spans="1:17" ht="18" customHeight="1">
      <c r="A56" s="29">
        <v>758</v>
      </c>
      <c r="B56" s="29">
        <v>75814</v>
      </c>
      <c r="C56" s="30" t="s">
        <v>79</v>
      </c>
      <c r="D56" s="31">
        <v>664902</v>
      </c>
      <c r="E56" s="31" t="e">
        <f>#REF!</f>
        <v>#REF!</v>
      </c>
      <c r="F56" s="31" t="e">
        <f>#REF!</f>
        <v>#REF!</v>
      </c>
      <c r="G56" s="31" t="e">
        <f>#REF!</f>
        <v>#REF!</v>
      </c>
      <c r="H56" s="32" t="e">
        <f>#REF!</f>
        <v>#REF!</v>
      </c>
      <c r="I56" s="31">
        <v>664902</v>
      </c>
      <c r="J56" s="31">
        <v>332284</v>
      </c>
      <c r="K56" s="31">
        <v>664563</v>
      </c>
      <c r="L56" s="31">
        <v>0</v>
      </c>
      <c r="M56" s="31">
        <v>664563</v>
      </c>
      <c r="N56" s="31">
        <v>0</v>
      </c>
      <c r="O56" s="32">
        <v>0</v>
      </c>
      <c r="P56" s="33">
        <f t="shared" si="4"/>
        <v>99.94901504281835</v>
      </c>
      <c r="Q56" s="28"/>
    </row>
    <row r="57" spans="1:17" ht="18" customHeight="1">
      <c r="A57" s="29">
        <v>758</v>
      </c>
      <c r="B57" s="29">
        <v>75818</v>
      </c>
      <c r="C57" s="46" t="s">
        <v>80</v>
      </c>
      <c r="D57" s="31">
        <v>580000</v>
      </c>
      <c r="E57" s="31" t="e">
        <f>#REF!</f>
        <v>#REF!</v>
      </c>
      <c r="F57" s="31" t="e">
        <f>#REF!</f>
        <v>#REF!</v>
      </c>
      <c r="G57" s="31" t="e">
        <f>#REF!</f>
        <v>#REF!</v>
      </c>
      <c r="H57" s="32" t="e">
        <f>#REF!</f>
        <v>#REF!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2">
        <v>0</v>
      </c>
      <c r="P57" s="33">
        <v>0</v>
      </c>
      <c r="Q57" s="28"/>
    </row>
    <row r="58" spans="1:17" ht="18" customHeight="1">
      <c r="A58" s="24" t="s">
        <v>81</v>
      </c>
      <c r="B58" s="24"/>
      <c r="C58" s="25" t="s">
        <v>82</v>
      </c>
      <c r="D58" s="38">
        <f>SUM(D59:D73)</f>
        <v>61571565</v>
      </c>
      <c r="E58" s="38" t="e">
        <f aca="true" t="shared" si="13" ref="E58:O58">SUM(E59:E73)</f>
        <v>#REF!</v>
      </c>
      <c r="F58" s="38" t="e">
        <f t="shared" si="13"/>
        <v>#REF!</v>
      </c>
      <c r="G58" s="38" t="e">
        <f t="shared" si="13"/>
        <v>#REF!</v>
      </c>
      <c r="H58" s="38" t="e">
        <f t="shared" si="13"/>
        <v>#REF!</v>
      </c>
      <c r="I58" s="38">
        <f t="shared" si="13"/>
        <v>62818084</v>
      </c>
      <c r="J58" s="38">
        <f t="shared" si="13"/>
        <v>58388927</v>
      </c>
      <c r="K58" s="38">
        <f t="shared" si="13"/>
        <v>62509785</v>
      </c>
      <c r="L58" s="38">
        <f>SUM(L59:L73)</f>
        <v>50577359</v>
      </c>
      <c r="M58" s="38">
        <f>SUM(M59:M73)</f>
        <v>10538481</v>
      </c>
      <c r="N58" s="38">
        <f t="shared" si="13"/>
        <v>133278</v>
      </c>
      <c r="O58" s="38">
        <f t="shared" si="13"/>
        <v>1260667</v>
      </c>
      <c r="P58" s="27">
        <f aca="true" t="shared" si="14" ref="P58:P76">K58/I58*100</f>
        <v>99.50921935154852</v>
      </c>
      <c r="Q58" s="28"/>
    </row>
    <row r="59" spans="1:17" ht="18" customHeight="1">
      <c r="A59" s="29">
        <v>801</v>
      </c>
      <c r="B59" s="29">
        <v>80101</v>
      </c>
      <c r="C59" s="30" t="s">
        <v>83</v>
      </c>
      <c r="D59" s="31">
        <v>21926622</v>
      </c>
      <c r="E59" s="31" t="e">
        <f>#REF!</f>
        <v>#REF!</v>
      </c>
      <c r="F59" s="31" t="e">
        <f>#REF!</f>
        <v>#REF!</v>
      </c>
      <c r="G59" s="31" t="e">
        <f>#REF!</f>
        <v>#REF!</v>
      </c>
      <c r="H59" s="32" t="e">
        <f>#REF!</f>
        <v>#REF!</v>
      </c>
      <c r="I59" s="31">
        <f>22760207-12497</f>
        <v>22747710</v>
      </c>
      <c r="J59" s="31">
        <f>20706755-12856</f>
        <v>20693899</v>
      </c>
      <c r="K59" s="31">
        <f>22705240-12238</f>
        <v>22693002</v>
      </c>
      <c r="L59" s="31">
        <f>13712672+1061366+2541080+346904</f>
        <v>17662022</v>
      </c>
      <c r="M59" s="31">
        <f>57397+5400+12238+521+468146+4954+87545+1220875+478676+25168+544220+2612+24387+870041+1171-12238</f>
        <v>3791113</v>
      </c>
      <c r="N59" s="31">
        <v>0</v>
      </c>
      <c r="O59" s="32">
        <v>1239867</v>
      </c>
      <c r="P59" s="33">
        <f t="shared" si="14"/>
        <v>99.75950106626118</v>
      </c>
      <c r="Q59" s="28"/>
    </row>
    <row r="60" spans="1:17" ht="18" customHeight="1">
      <c r="A60" s="37">
        <v>801</v>
      </c>
      <c r="B60" s="37">
        <v>80102</v>
      </c>
      <c r="C60" s="30" t="s">
        <v>84</v>
      </c>
      <c r="D60" s="31">
        <v>1629160</v>
      </c>
      <c r="E60" s="31" t="e">
        <f>#REF!</f>
        <v>#REF!</v>
      </c>
      <c r="F60" s="31" t="e">
        <f>#REF!</f>
        <v>#REF!</v>
      </c>
      <c r="G60" s="31" t="e">
        <f>#REF!</f>
        <v>#REF!</v>
      </c>
      <c r="H60" s="32" t="e">
        <f>#REF!</f>
        <v>#REF!</v>
      </c>
      <c r="I60" s="31">
        <v>1780413</v>
      </c>
      <c r="J60" s="31">
        <v>1545298</v>
      </c>
      <c r="K60" s="31">
        <v>1776708</v>
      </c>
      <c r="L60" s="31">
        <f>1129648+81394+215558+29054</f>
        <v>1455654</v>
      </c>
      <c r="M60" s="31">
        <f>1676+11800+67683+141689+1945+21523+566+2735+71251+186</f>
        <v>321054</v>
      </c>
      <c r="N60" s="31">
        <v>0</v>
      </c>
      <c r="O60" s="32">
        <v>0</v>
      </c>
      <c r="P60" s="33">
        <f t="shared" si="14"/>
        <v>99.79190221594652</v>
      </c>
      <c r="Q60" s="28"/>
    </row>
    <row r="61" spans="1:17" ht="18" customHeight="1">
      <c r="A61" s="37">
        <v>801</v>
      </c>
      <c r="B61" s="37">
        <v>80104</v>
      </c>
      <c r="C61" s="30" t="s">
        <v>85</v>
      </c>
      <c r="D61" s="31">
        <v>9989779</v>
      </c>
      <c r="E61" s="31"/>
      <c r="F61" s="31"/>
      <c r="G61" s="31"/>
      <c r="H61" s="32"/>
      <c r="I61" s="31">
        <v>10208367</v>
      </c>
      <c r="J61" s="31">
        <v>9331950</v>
      </c>
      <c r="K61" s="31">
        <v>10157738</v>
      </c>
      <c r="L61" s="31">
        <f>6502890+491281+1191289+163486</f>
        <v>8348946</v>
      </c>
      <c r="M61" s="31">
        <f>66083+3859+134429+17977+697510+214064+18409+233715+193+1734+398496+628+895</f>
        <v>1787992</v>
      </c>
      <c r="N61" s="31">
        <v>0</v>
      </c>
      <c r="O61" s="32">
        <v>20800</v>
      </c>
      <c r="P61" s="33">
        <f t="shared" si="14"/>
        <v>99.50404408462195</v>
      </c>
      <c r="Q61" s="28"/>
    </row>
    <row r="62" spans="1:17" ht="18" customHeight="1">
      <c r="A62" s="29">
        <v>801</v>
      </c>
      <c r="B62" s="29">
        <v>80110</v>
      </c>
      <c r="C62" s="30" t="s">
        <v>86</v>
      </c>
      <c r="D62" s="31">
        <v>13079219</v>
      </c>
      <c r="E62" s="31" t="e">
        <f>#REF!</f>
        <v>#REF!</v>
      </c>
      <c r="F62" s="31" t="e">
        <f>#REF!</f>
        <v>#REF!</v>
      </c>
      <c r="G62" s="31" t="e">
        <f>#REF!</f>
        <v>#REF!</v>
      </c>
      <c r="H62" s="32" t="e">
        <f>#REF!</f>
        <v>#REF!</v>
      </c>
      <c r="I62" s="31">
        <v>12908725</v>
      </c>
      <c r="J62" s="31">
        <v>12475352</v>
      </c>
      <c r="K62" s="31">
        <v>12829764</v>
      </c>
      <c r="L62" s="31">
        <f>8323420+648514+1579396+213488</f>
        <v>10764818</v>
      </c>
      <c r="M62" s="31">
        <f>27400+187726+994+31277+857328+286971+10998+112683+3734+610+3995+13492+527227+511</f>
        <v>2064946</v>
      </c>
      <c r="N62" s="31">
        <v>0</v>
      </c>
      <c r="O62" s="32">
        <v>0</v>
      </c>
      <c r="P62" s="33">
        <f t="shared" si="14"/>
        <v>99.38831294337744</v>
      </c>
      <c r="Q62" s="28"/>
    </row>
    <row r="63" spans="1:17" ht="18" customHeight="1">
      <c r="A63" s="29">
        <v>801</v>
      </c>
      <c r="B63" s="37">
        <v>80111</v>
      </c>
      <c r="C63" s="30" t="s">
        <v>87</v>
      </c>
      <c r="D63" s="31">
        <v>793347</v>
      </c>
      <c r="E63" s="31" t="e">
        <f>#REF!</f>
        <v>#REF!</v>
      </c>
      <c r="F63" s="31" t="e">
        <f>#REF!</f>
        <v>#REF!</v>
      </c>
      <c r="G63" s="31" t="e">
        <f>#REF!</f>
        <v>#REF!</v>
      </c>
      <c r="H63" s="32" t="e">
        <f>#REF!</f>
        <v>#REF!</v>
      </c>
      <c r="I63" s="31">
        <v>754747</v>
      </c>
      <c r="J63" s="31">
        <v>781291</v>
      </c>
      <c r="K63" s="31">
        <v>752012</v>
      </c>
      <c r="L63" s="31">
        <f>547235+42442+105871+14345</f>
        <v>709893</v>
      </c>
      <c r="M63" s="31">
        <f>562+1000+309+895+2732+264+36357</f>
        <v>42119</v>
      </c>
      <c r="N63" s="31">
        <v>0</v>
      </c>
      <c r="O63" s="32">
        <v>0</v>
      </c>
      <c r="P63" s="33">
        <f t="shared" si="14"/>
        <v>99.63762691338952</v>
      </c>
      <c r="Q63" s="28"/>
    </row>
    <row r="64" spans="1:17" ht="18" customHeight="1">
      <c r="A64" s="29">
        <v>801</v>
      </c>
      <c r="B64" s="37">
        <v>80113</v>
      </c>
      <c r="C64" s="30" t="s">
        <v>88</v>
      </c>
      <c r="D64" s="31">
        <v>211540</v>
      </c>
      <c r="E64" s="31" t="e">
        <f>#REF!</f>
        <v>#REF!</v>
      </c>
      <c r="F64" s="31" t="e">
        <f>#REF!</f>
        <v>#REF!</v>
      </c>
      <c r="G64" s="31" t="e">
        <f>#REF!</f>
        <v>#REF!</v>
      </c>
      <c r="H64" s="32" t="e">
        <f>#REF!</f>
        <v>#REF!</v>
      </c>
      <c r="I64" s="31">
        <v>189781</v>
      </c>
      <c r="J64" s="31">
        <v>191653</v>
      </c>
      <c r="K64" s="31">
        <v>181872</v>
      </c>
      <c r="L64" s="31">
        <f>4031+573</f>
        <v>4604</v>
      </c>
      <c r="M64" s="31">
        <v>177268</v>
      </c>
      <c r="N64" s="31">
        <v>0</v>
      </c>
      <c r="O64" s="32">
        <v>0</v>
      </c>
      <c r="P64" s="33">
        <f t="shared" si="14"/>
        <v>95.83256490375749</v>
      </c>
      <c r="Q64" s="28"/>
    </row>
    <row r="65" spans="1:17" ht="30" customHeight="1">
      <c r="A65" s="29">
        <v>801</v>
      </c>
      <c r="B65" s="29">
        <v>80114</v>
      </c>
      <c r="C65" s="30" t="s">
        <v>89</v>
      </c>
      <c r="D65" s="31">
        <v>1015875</v>
      </c>
      <c r="E65" s="31" t="e">
        <f>#REF!</f>
        <v>#REF!</v>
      </c>
      <c r="F65" s="31" t="e">
        <f>#REF!</f>
        <v>#REF!</v>
      </c>
      <c r="G65" s="31" t="e">
        <f>#REF!</f>
        <v>#REF!</v>
      </c>
      <c r="H65" s="32" t="e">
        <f>#REF!</f>
        <v>#REF!</v>
      </c>
      <c r="I65" s="31">
        <v>1136074</v>
      </c>
      <c r="J65" s="31">
        <v>987728</v>
      </c>
      <c r="K65" s="31">
        <v>1134356</v>
      </c>
      <c r="L65" s="31">
        <f>732538+55187+139226+19669</f>
        <v>946620</v>
      </c>
      <c r="M65" s="31">
        <f>2746+31690+19014+15488+695+95488+167+818+20001+1629</f>
        <v>187736</v>
      </c>
      <c r="N65" s="31">
        <v>0</v>
      </c>
      <c r="O65" s="32">
        <v>0</v>
      </c>
      <c r="P65" s="33">
        <f t="shared" si="14"/>
        <v>99.84877745639808</v>
      </c>
      <c r="Q65" s="28"/>
    </row>
    <row r="66" spans="1:17" ht="18" customHeight="1">
      <c r="A66" s="29">
        <v>801</v>
      </c>
      <c r="B66" s="29">
        <v>80120</v>
      </c>
      <c r="C66" s="30" t="s">
        <v>90</v>
      </c>
      <c r="D66" s="31">
        <v>4812537</v>
      </c>
      <c r="E66" s="31" t="e">
        <f>#REF!</f>
        <v>#REF!</v>
      </c>
      <c r="F66" s="31" t="e">
        <f>#REF!</f>
        <v>#REF!</v>
      </c>
      <c r="G66" s="31" t="e">
        <f>#REF!</f>
        <v>#REF!</v>
      </c>
      <c r="H66" s="32" t="e">
        <f>#REF!</f>
        <v>#REF!</v>
      </c>
      <c r="I66" s="31">
        <v>4923391</v>
      </c>
      <c r="J66" s="31">
        <v>4646818</v>
      </c>
      <c r="K66" s="31">
        <v>4891014</v>
      </c>
      <c r="L66" s="31">
        <f>3291657+228014+601172+82846</f>
        <v>4203689</v>
      </c>
      <c r="M66" s="31">
        <f>10662+33730+559+12060+278552+37366+4747+44257+10+309+2070+3535+203932+3326</f>
        <v>635115</v>
      </c>
      <c r="N66" s="31">
        <v>52210</v>
      </c>
      <c r="O66" s="32">
        <v>0</v>
      </c>
      <c r="P66" s="33">
        <f t="shared" si="14"/>
        <v>99.34238414133674</v>
      </c>
      <c r="Q66" s="28"/>
    </row>
    <row r="67" spans="1:17" ht="18" customHeight="1">
      <c r="A67" s="29">
        <v>801</v>
      </c>
      <c r="B67" s="29">
        <v>80123</v>
      </c>
      <c r="C67" s="30" t="s">
        <v>91</v>
      </c>
      <c r="D67" s="31">
        <v>1855694</v>
      </c>
      <c r="E67" s="31"/>
      <c r="F67" s="31"/>
      <c r="G67" s="31"/>
      <c r="H67" s="32"/>
      <c r="I67" s="31">
        <v>1969917</v>
      </c>
      <c r="J67" s="31">
        <v>1793105</v>
      </c>
      <c r="K67" s="31">
        <v>1961397</v>
      </c>
      <c r="L67" s="31">
        <f>1371679+94656+249072+33970</f>
        <v>1749377</v>
      </c>
      <c r="M67" s="31">
        <f>2592+55556+4053+13208+12920+1526+36411+984+2478+82071+221</f>
        <v>212020</v>
      </c>
      <c r="N67" s="31">
        <v>0</v>
      </c>
      <c r="O67" s="32">
        <v>0</v>
      </c>
      <c r="P67" s="33">
        <f t="shared" si="14"/>
        <v>99.56749446804103</v>
      </c>
      <c r="Q67" s="28"/>
    </row>
    <row r="68" spans="1:17" ht="18" customHeight="1">
      <c r="A68" s="29">
        <v>801</v>
      </c>
      <c r="B68" s="29">
        <v>80130</v>
      </c>
      <c r="C68" s="30" t="s">
        <v>92</v>
      </c>
      <c r="D68" s="31">
        <v>3369814</v>
      </c>
      <c r="E68" s="31" t="e">
        <f>#REF!</f>
        <v>#REF!</v>
      </c>
      <c r="F68" s="31" t="e">
        <f>#REF!</f>
        <v>#REF!</v>
      </c>
      <c r="G68" s="31" t="e">
        <f>#REF!</f>
        <v>#REF!</v>
      </c>
      <c r="H68" s="32" t="e">
        <f>#REF!</f>
        <v>#REF!</v>
      </c>
      <c r="I68" s="31">
        <v>3181867</v>
      </c>
      <c r="J68" s="31">
        <v>3184318</v>
      </c>
      <c r="K68" s="31">
        <v>3166343</v>
      </c>
      <c r="L68" s="31">
        <f>1999337+168541+380246+51699</f>
        <v>2599823</v>
      </c>
      <c r="M68" s="31">
        <f>27347+662+47057+13122+184490+21682+3419+88114+17+3141+126471+2396</f>
        <v>517918</v>
      </c>
      <c r="N68" s="31">
        <v>48602</v>
      </c>
      <c r="O68" s="32">
        <v>0</v>
      </c>
      <c r="P68" s="33">
        <f t="shared" si="14"/>
        <v>99.51211034276417</v>
      </c>
      <c r="Q68" s="28"/>
    </row>
    <row r="69" spans="1:17" ht="18" customHeight="1">
      <c r="A69" s="29">
        <v>801</v>
      </c>
      <c r="B69" s="37">
        <v>80134</v>
      </c>
      <c r="C69" s="30" t="s">
        <v>93</v>
      </c>
      <c r="D69" s="31">
        <v>798770</v>
      </c>
      <c r="E69" s="31" t="e">
        <f>#REF!</f>
        <v>#REF!</v>
      </c>
      <c r="F69" s="31" t="e">
        <f>#REF!</f>
        <v>#REF!</v>
      </c>
      <c r="G69" s="31" t="e">
        <f>#REF!</f>
        <v>#REF!</v>
      </c>
      <c r="H69" s="32" t="e">
        <f>#REF!</f>
        <v>#REF!</v>
      </c>
      <c r="I69" s="31">
        <v>726244</v>
      </c>
      <c r="J69" s="31">
        <v>774662</v>
      </c>
      <c r="K69" s="31">
        <v>724169</v>
      </c>
      <c r="L69" s="31">
        <f>522452+43713+101139+13322</f>
        <v>680626</v>
      </c>
      <c r="M69" s="31">
        <f>261+2074+1620+5717+598+33273</f>
        <v>43543</v>
      </c>
      <c r="N69" s="31">
        <v>0</v>
      </c>
      <c r="O69" s="32">
        <v>0</v>
      </c>
      <c r="P69" s="33">
        <f t="shared" si="14"/>
        <v>99.71428335380395</v>
      </c>
      <c r="Q69" s="28"/>
    </row>
    <row r="70" spans="1:17" ht="29.25" customHeight="1">
      <c r="A70" s="29">
        <v>801</v>
      </c>
      <c r="B70" s="37">
        <v>80140</v>
      </c>
      <c r="C70" s="30" t="s">
        <v>94</v>
      </c>
      <c r="D70" s="31">
        <v>1549926</v>
      </c>
      <c r="E70" s="31" t="e">
        <f>#REF!</f>
        <v>#REF!</v>
      </c>
      <c r="F70" s="31" t="e">
        <f>#REF!</f>
        <v>#REF!</v>
      </c>
      <c r="G70" s="31" t="e">
        <f>#REF!</f>
        <v>#REF!</v>
      </c>
      <c r="H70" s="32" t="e">
        <f>#REF!</f>
        <v>#REF!</v>
      </c>
      <c r="I70" s="31">
        <v>1424948</v>
      </c>
      <c r="J70" s="31">
        <v>1513749</v>
      </c>
      <c r="K70" s="31">
        <v>1418517</v>
      </c>
      <c r="L70" s="31">
        <f>881806+65004+158194+25188</f>
        <v>1130192</v>
      </c>
      <c r="M70" s="31">
        <f>8840+18071+7937+139007+2989+1043+32248+274+4279+57602+7212+8823</f>
        <v>288325</v>
      </c>
      <c r="N70" s="31">
        <v>0</v>
      </c>
      <c r="O70" s="32">
        <v>0</v>
      </c>
      <c r="P70" s="33">
        <f t="shared" si="14"/>
        <v>99.54868528535779</v>
      </c>
      <c r="Q70" s="28"/>
    </row>
    <row r="71" spans="1:17" ht="18" customHeight="1">
      <c r="A71" s="29">
        <v>801</v>
      </c>
      <c r="B71" s="37">
        <v>80145</v>
      </c>
      <c r="C71" s="30" t="s">
        <v>95</v>
      </c>
      <c r="D71" s="31">
        <v>13500</v>
      </c>
      <c r="E71" s="31"/>
      <c r="F71" s="31"/>
      <c r="G71" s="31"/>
      <c r="H71" s="32"/>
      <c r="I71" s="31">
        <v>8616</v>
      </c>
      <c r="J71" s="31">
        <v>900</v>
      </c>
      <c r="K71" s="31">
        <v>8616</v>
      </c>
      <c r="L71" s="31">
        <f>57+9</f>
        <v>66</v>
      </c>
      <c r="M71" s="31">
        <v>8550</v>
      </c>
      <c r="N71" s="31">
        <v>0</v>
      </c>
      <c r="O71" s="32">
        <v>0</v>
      </c>
      <c r="P71" s="33">
        <f t="shared" si="14"/>
        <v>100</v>
      </c>
      <c r="Q71" s="28"/>
    </row>
    <row r="72" spans="1:17" ht="18" customHeight="1">
      <c r="A72" s="29">
        <v>801</v>
      </c>
      <c r="B72" s="37">
        <v>80146</v>
      </c>
      <c r="C72" s="30" t="s">
        <v>96</v>
      </c>
      <c r="D72" s="31">
        <v>313278</v>
      </c>
      <c r="E72" s="31"/>
      <c r="F72" s="31"/>
      <c r="G72" s="31"/>
      <c r="H72" s="32"/>
      <c r="I72" s="31">
        <v>332922</v>
      </c>
      <c r="J72" s="31">
        <v>240292</v>
      </c>
      <c r="K72" s="31">
        <v>316907</v>
      </c>
      <c r="L72" s="31">
        <f>205243+36011+4918</f>
        <v>246172</v>
      </c>
      <c r="M72" s="31">
        <f>5746+56898+8091</f>
        <v>70735</v>
      </c>
      <c r="N72" s="31">
        <v>0</v>
      </c>
      <c r="O72" s="32">
        <v>0</v>
      </c>
      <c r="P72" s="33">
        <f t="shared" si="14"/>
        <v>95.1895639218796</v>
      </c>
      <c r="Q72" s="28"/>
    </row>
    <row r="73" spans="1:17" ht="18" customHeight="1">
      <c r="A73" s="29">
        <v>801</v>
      </c>
      <c r="B73" s="37">
        <v>80195</v>
      </c>
      <c r="C73" s="30" t="s">
        <v>31</v>
      </c>
      <c r="D73" s="31">
        <v>212504</v>
      </c>
      <c r="E73" s="31" t="e">
        <f>#REF!</f>
        <v>#REF!</v>
      </c>
      <c r="F73" s="31" t="e">
        <f>#REF!</f>
        <v>#REF!</v>
      </c>
      <c r="G73" s="31" t="e">
        <f>#REF!</f>
        <v>#REF!</v>
      </c>
      <c r="H73" s="32" t="e">
        <f>#REF!</f>
        <v>#REF!</v>
      </c>
      <c r="I73" s="31">
        <f>536932-12570</f>
        <v>524362</v>
      </c>
      <c r="J73" s="31">
        <v>227912</v>
      </c>
      <c r="K73" s="31">
        <f>505620-8250</f>
        <v>497370</v>
      </c>
      <c r="L73" s="31">
        <f>64208+9076+1573</f>
        <v>74857</v>
      </c>
      <c r="M73" s="31">
        <f>76550+10979+7435+1174+14050+15184+2605+9222+1022+101+259975-8250</f>
        <v>390047</v>
      </c>
      <c r="N73" s="31">
        <v>32466</v>
      </c>
      <c r="O73" s="32">
        <v>0</v>
      </c>
      <c r="P73" s="33">
        <f t="shared" si="14"/>
        <v>94.85241112056175</v>
      </c>
      <c r="Q73" s="28"/>
    </row>
    <row r="74" spans="1:17" ht="18" customHeight="1">
      <c r="A74" s="24" t="s">
        <v>97</v>
      </c>
      <c r="B74" s="24"/>
      <c r="C74" s="25" t="s">
        <v>98</v>
      </c>
      <c r="D74" s="38">
        <f>SUM(D75:D80)</f>
        <v>4183700</v>
      </c>
      <c r="E74" s="38" t="e">
        <f aca="true" t="shared" si="15" ref="E74:O74">SUM(E75:E80)</f>
        <v>#REF!</v>
      </c>
      <c r="F74" s="38" t="e">
        <f t="shared" si="15"/>
        <v>#REF!</v>
      </c>
      <c r="G74" s="38" t="e">
        <f t="shared" si="15"/>
        <v>#REF!</v>
      </c>
      <c r="H74" s="38" t="e">
        <f t="shared" si="15"/>
        <v>#REF!</v>
      </c>
      <c r="I74" s="38">
        <f t="shared" si="15"/>
        <v>5166641</v>
      </c>
      <c r="J74" s="38">
        <f t="shared" si="15"/>
        <v>3491539</v>
      </c>
      <c r="K74" s="38">
        <f t="shared" si="15"/>
        <v>5147892</v>
      </c>
      <c r="L74" s="38">
        <f>SUM(L75:L80)</f>
        <v>940673</v>
      </c>
      <c r="M74" s="38">
        <f>SUM(M75:M80)</f>
        <v>2492266</v>
      </c>
      <c r="N74" s="38">
        <f t="shared" si="15"/>
        <v>265963</v>
      </c>
      <c r="O74" s="38">
        <f t="shared" si="15"/>
        <v>1448990</v>
      </c>
      <c r="P74" s="27">
        <f t="shared" si="14"/>
        <v>99.63711432630988</v>
      </c>
      <c r="Q74" s="28"/>
    </row>
    <row r="75" spans="1:17" ht="18" customHeight="1">
      <c r="A75" s="29">
        <v>851</v>
      </c>
      <c r="B75" s="29">
        <v>85111</v>
      </c>
      <c r="C75" s="30" t="s">
        <v>99</v>
      </c>
      <c r="D75" s="31">
        <v>2262200</v>
      </c>
      <c r="E75" s="31" t="e">
        <f>#REF!</f>
        <v>#REF!</v>
      </c>
      <c r="F75" s="31" t="e">
        <f>#REF!</f>
        <v>#REF!</v>
      </c>
      <c r="G75" s="31" t="e">
        <f>#REF!</f>
        <v>#REF!</v>
      </c>
      <c r="H75" s="32" t="e">
        <f>#REF!</f>
        <v>#REF!</v>
      </c>
      <c r="I75" s="31">
        <v>2661156</v>
      </c>
      <c r="J75" s="31">
        <v>1470040</v>
      </c>
      <c r="K75" s="31">
        <v>2661154</v>
      </c>
      <c r="L75" s="31">
        <v>0</v>
      </c>
      <c r="M75" s="31">
        <f>1210000+19075</f>
        <v>1229075</v>
      </c>
      <c r="N75" s="31">
        <v>0</v>
      </c>
      <c r="O75" s="32">
        <f>87840+1344239</f>
        <v>1432079</v>
      </c>
      <c r="P75" s="33">
        <f t="shared" si="14"/>
        <v>99.99992484469156</v>
      </c>
      <c r="Q75" s="28"/>
    </row>
    <row r="76" spans="1:17" ht="28.5" customHeight="1">
      <c r="A76" s="29">
        <v>851</v>
      </c>
      <c r="B76" s="29">
        <v>85117</v>
      </c>
      <c r="C76" s="30" t="s">
        <v>100</v>
      </c>
      <c r="D76" s="31">
        <v>380000</v>
      </c>
      <c r="E76" s="31" t="e">
        <f>#REF!</f>
        <v>#REF!</v>
      </c>
      <c r="F76" s="31" t="e">
        <f>#REF!</f>
        <v>#REF!</v>
      </c>
      <c r="G76" s="31" t="e">
        <f>#REF!</f>
        <v>#REF!</v>
      </c>
      <c r="H76" s="32" t="e">
        <f>#REF!</f>
        <v>#REF!</v>
      </c>
      <c r="I76" s="31">
        <v>761591</v>
      </c>
      <c r="J76" s="31">
        <v>636470</v>
      </c>
      <c r="K76" s="31">
        <v>757302</v>
      </c>
      <c r="L76" s="31">
        <f>446514+75356+10117</f>
        <v>531987</v>
      </c>
      <c r="M76" s="31">
        <f>25832+1026+12835+94863+3430+4279+16360+49779</f>
        <v>208404</v>
      </c>
      <c r="N76" s="31">
        <v>0</v>
      </c>
      <c r="O76" s="32">
        <v>16911</v>
      </c>
      <c r="P76" s="33">
        <f t="shared" si="14"/>
        <v>99.43683683236803</v>
      </c>
      <c r="Q76" s="28"/>
    </row>
    <row r="77" spans="1:17" ht="15.75" customHeight="1">
      <c r="A77" s="29">
        <v>851</v>
      </c>
      <c r="B77" s="29">
        <v>85121</v>
      </c>
      <c r="C77" s="30" t="s">
        <v>101</v>
      </c>
      <c r="D77" s="31">
        <v>300000</v>
      </c>
      <c r="E77" s="31" t="e">
        <f>#REF!</f>
        <v>#REF!</v>
      </c>
      <c r="F77" s="31" t="e">
        <f>#REF!</f>
        <v>#REF!</v>
      </c>
      <c r="G77" s="31" t="e">
        <f>#REF!</f>
        <v>#REF!</v>
      </c>
      <c r="H77" s="32" t="e">
        <f>#REF!</f>
        <v>#REF!</v>
      </c>
      <c r="I77" s="31">
        <v>300000</v>
      </c>
      <c r="J77" s="31">
        <v>300000</v>
      </c>
      <c r="K77" s="31">
        <v>300000</v>
      </c>
      <c r="L77" s="31">
        <v>0</v>
      </c>
      <c r="M77" s="31">
        <v>300000</v>
      </c>
      <c r="N77" s="31">
        <v>0</v>
      </c>
      <c r="O77" s="32">
        <v>0</v>
      </c>
      <c r="P77" s="33">
        <f aca="true" t="shared" si="16" ref="P77:P128">K77/I77*100</f>
        <v>100</v>
      </c>
      <c r="Q77" s="28"/>
    </row>
    <row r="78" spans="1:17" ht="18" customHeight="1">
      <c r="A78" s="29">
        <v>851</v>
      </c>
      <c r="B78" s="37">
        <v>85154</v>
      </c>
      <c r="C78" s="30" t="s">
        <v>102</v>
      </c>
      <c r="D78" s="31">
        <v>1065500</v>
      </c>
      <c r="E78" s="31" t="e">
        <f>#REF!</f>
        <v>#REF!</v>
      </c>
      <c r="F78" s="31" t="e">
        <f>#REF!</f>
        <v>#REF!</v>
      </c>
      <c r="G78" s="31" t="e">
        <f>#REF!</f>
        <v>#REF!</v>
      </c>
      <c r="H78" s="32" t="e">
        <f>#REF!</f>
        <v>#REF!</v>
      </c>
      <c r="I78" s="31">
        <v>1110500</v>
      </c>
      <c r="J78" s="31">
        <v>800882</v>
      </c>
      <c r="K78" s="31">
        <v>1100163</v>
      </c>
      <c r="L78" s="31">
        <f>301431+26100+71373+9782</f>
        <v>408686</v>
      </c>
      <c r="M78" s="31">
        <f>1257+17840+61393+45001+49817+15275+287203+326+120+19285</f>
        <v>497517</v>
      </c>
      <c r="N78" s="31">
        <f>45400+125752+22808</f>
        <v>193960</v>
      </c>
      <c r="O78" s="32">
        <v>0</v>
      </c>
      <c r="P78" s="33">
        <f t="shared" si="16"/>
        <v>99.0691580369203</v>
      </c>
      <c r="Q78" s="28"/>
    </row>
    <row r="79" spans="1:17" ht="18" customHeight="1">
      <c r="A79" s="29">
        <v>851</v>
      </c>
      <c r="B79" s="37">
        <v>85158</v>
      </c>
      <c r="C79" s="30" t="s">
        <v>103</v>
      </c>
      <c r="D79" s="31">
        <v>10000</v>
      </c>
      <c r="E79" s="31" t="e">
        <f>#REF!</f>
        <v>#REF!</v>
      </c>
      <c r="F79" s="31" t="e">
        <f>#REF!</f>
        <v>#REF!</v>
      </c>
      <c r="G79" s="31" t="e">
        <f>#REF!</f>
        <v>#REF!</v>
      </c>
      <c r="H79" s="32" t="e">
        <f>#REF!</f>
        <v>#REF!</v>
      </c>
      <c r="I79" s="31">
        <v>14203</v>
      </c>
      <c r="J79" s="31">
        <v>10000</v>
      </c>
      <c r="K79" s="31">
        <v>14202</v>
      </c>
      <c r="L79" s="31">
        <v>0</v>
      </c>
      <c r="M79" s="31">
        <v>14202</v>
      </c>
      <c r="N79" s="31">
        <v>0</v>
      </c>
      <c r="O79" s="32">
        <v>0</v>
      </c>
      <c r="P79" s="33">
        <f t="shared" si="16"/>
        <v>99.99295923396465</v>
      </c>
      <c r="Q79" s="28"/>
    </row>
    <row r="80" spans="1:17" ht="18" customHeight="1">
      <c r="A80" s="29">
        <v>851</v>
      </c>
      <c r="B80" s="37">
        <v>85195</v>
      </c>
      <c r="C80" s="30" t="s">
        <v>31</v>
      </c>
      <c r="D80" s="31">
        <v>166000</v>
      </c>
      <c r="E80" s="31" t="e">
        <f>#REF!</f>
        <v>#REF!</v>
      </c>
      <c r="F80" s="31" t="e">
        <f>#REF!</f>
        <v>#REF!</v>
      </c>
      <c r="G80" s="31" t="e">
        <f>#REF!</f>
        <v>#REF!</v>
      </c>
      <c r="H80" s="32" t="e">
        <f>#REF!</f>
        <v>#REF!</v>
      </c>
      <c r="I80" s="31">
        <v>319191</v>
      </c>
      <c r="J80" s="31">
        <v>274147</v>
      </c>
      <c r="K80" s="31">
        <v>315071</v>
      </c>
      <c r="L80" s="31">
        <v>0</v>
      </c>
      <c r="M80" s="31">
        <f>4060+29858+40247+20900+116364+31639</f>
        <v>243068</v>
      </c>
      <c r="N80" s="31">
        <f>46503+25500</f>
        <v>72003</v>
      </c>
      <c r="O80" s="32">
        <v>0</v>
      </c>
      <c r="P80" s="33">
        <f t="shared" si="16"/>
        <v>98.70923678925784</v>
      </c>
      <c r="Q80" s="28"/>
    </row>
    <row r="81" spans="1:17" ht="18" customHeight="1">
      <c r="A81" s="24">
        <v>852</v>
      </c>
      <c r="B81" s="24"/>
      <c r="C81" s="25" t="s">
        <v>104</v>
      </c>
      <c r="D81" s="26">
        <f>SUM(D82:D91)</f>
        <v>10378089</v>
      </c>
      <c r="E81" s="26" t="e">
        <f aca="true" t="shared" si="17" ref="E81:O81">SUM(E82:E91)</f>
        <v>#REF!</v>
      </c>
      <c r="F81" s="26" t="e">
        <f t="shared" si="17"/>
        <v>#REF!</v>
      </c>
      <c r="G81" s="26" t="e">
        <f t="shared" si="17"/>
        <v>#REF!</v>
      </c>
      <c r="H81" s="26" t="e">
        <f t="shared" si="17"/>
        <v>#REF!</v>
      </c>
      <c r="I81" s="26">
        <f t="shared" si="17"/>
        <v>12517634</v>
      </c>
      <c r="J81" s="26">
        <f>SUM(J82:J91)</f>
        <v>7616638</v>
      </c>
      <c r="K81" s="26">
        <f t="shared" si="17"/>
        <v>12517038</v>
      </c>
      <c r="L81" s="26">
        <f>SUM(L82:L91)</f>
        <v>2025001</v>
      </c>
      <c r="M81" s="26">
        <f>SUM(M82:M91)</f>
        <v>10411077</v>
      </c>
      <c r="N81" s="26">
        <f t="shared" si="17"/>
        <v>69840</v>
      </c>
      <c r="O81" s="26">
        <f t="shared" si="17"/>
        <v>11120</v>
      </c>
      <c r="P81" s="27">
        <f t="shared" si="16"/>
        <v>99.99523871683739</v>
      </c>
      <c r="Q81" s="28"/>
    </row>
    <row r="82" spans="1:17" ht="18" customHeight="1">
      <c r="A82" s="29">
        <v>852</v>
      </c>
      <c r="B82" s="29">
        <v>85201</v>
      </c>
      <c r="C82" s="30" t="s">
        <v>105</v>
      </c>
      <c r="D82" s="31">
        <v>265579</v>
      </c>
      <c r="E82" s="31" t="e">
        <f>#REF!</f>
        <v>#REF!</v>
      </c>
      <c r="F82" s="31" t="e">
        <f>#REF!</f>
        <v>#REF!</v>
      </c>
      <c r="G82" s="31" t="e">
        <f>#REF!</f>
        <v>#REF!</v>
      </c>
      <c r="H82" s="32" t="e">
        <f>#REF!</f>
        <v>#REF!</v>
      </c>
      <c r="I82" s="31">
        <f>1546916-7000-1337222</f>
        <v>202694</v>
      </c>
      <c r="J82" s="41">
        <f>1276229-1097573</f>
        <v>178656</v>
      </c>
      <c r="K82" s="31">
        <f>1546501-7000-1337214</f>
        <v>202287</v>
      </c>
      <c r="L82" s="31">
        <f>738084+55579+128628+17773-900433</f>
        <v>39631</v>
      </c>
      <c r="M82" s="31">
        <f>4500+168242+64913+97104+18600+25996+11097+42113+1975+1269+28788-7000-364781</f>
        <v>92816</v>
      </c>
      <c r="N82" s="31">
        <f>141840-72000</f>
        <v>69840</v>
      </c>
      <c r="O82" s="32">
        <v>0</v>
      </c>
      <c r="P82" s="33">
        <f t="shared" si="16"/>
        <v>99.79920471252233</v>
      </c>
      <c r="Q82" s="28"/>
    </row>
    <row r="83" spans="1:17" ht="18" customHeight="1">
      <c r="A83" s="29">
        <v>852</v>
      </c>
      <c r="B83" s="29">
        <v>85202</v>
      </c>
      <c r="C83" s="30" t="s">
        <v>106</v>
      </c>
      <c r="D83" s="31">
        <v>437048</v>
      </c>
      <c r="E83" s="31" t="e">
        <f>#REF!</f>
        <v>#REF!</v>
      </c>
      <c r="F83" s="31" t="e">
        <f>#REF!</f>
        <v>#REF!</v>
      </c>
      <c r="G83" s="31" t="e">
        <f>#REF!</f>
        <v>#REF!</v>
      </c>
      <c r="H83" s="32" t="e">
        <f>#REF!</f>
        <v>#REF!</v>
      </c>
      <c r="I83" s="31">
        <f>1311446-774134</f>
        <v>537312</v>
      </c>
      <c r="J83" s="31">
        <f>1034627-706735</f>
        <v>327892</v>
      </c>
      <c r="K83" s="31">
        <f>1311335-774134</f>
        <v>537201</v>
      </c>
      <c r="L83" s="31">
        <f>683801+53787+123008+17037-680485</f>
        <v>197148</v>
      </c>
      <c r="M83" s="31">
        <f>12000+34000+84560+133000+26925+36360+28300+30834+2094+7602+26907-93649</f>
        <v>328933</v>
      </c>
      <c r="N83" s="31">
        <v>0</v>
      </c>
      <c r="O83" s="32">
        <v>11120</v>
      </c>
      <c r="P83" s="33">
        <f t="shared" si="16"/>
        <v>99.97934161157764</v>
      </c>
      <c r="Q83" s="28"/>
    </row>
    <row r="84" spans="1:17" ht="18" customHeight="1">
      <c r="A84" s="29">
        <v>852</v>
      </c>
      <c r="B84" s="29">
        <v>85203</v>
      </c>
      <c r="C84" s="47" t="s">
        <v>107</v>
      </c>
      <c r="D84" s="31">
        <v>435216</v>
      </c>
      <c r="E84" s="31" t="e">
        <f>#REF!</f>
        <v>#REF!</v>
      </c>
      <c r="F84" s="31" t="e">
        <f>#REF!</f>
        <v>#REF!</v>
      </c>
      <c r="G84" s="31" t="e">
        <f>#REF!</f>
        <v>#REF!</v>
      </c>
      <c r="H84" s="32" t="e">
        <f>#REF!</f>
        <v>#REF!</v>
      </c>
      <c r="I84" s="31">
        <v>492487</v>
      </c>
      <c r="J84" s="31">
        <v>352342</v>
      </c>
      <c r="K84" s="31">
        <v>492477</v>
      </c>
      <c r="L84" s="31">
        <f>239764+17599+45170+6095</f>
        <v>308628</v>
      </c>
      <c r="M84" s="31">
        <f>1020+54996+37799+39667+15861+25810+8696</f>
        <v>183849</v>
      </c>
      <c r="N84" s="31">
        <v>0</v>
      </c>
      <c r="O84" s="32">
        <v>0</v>
      </c>
      <c r="P84" s="33">
        <f t="shared" si="16"/>
        <v>99.99796948954997</v>
      </c>
      <c r="Q84" s="28"/>
    </row>
    <row r="85" spans="1:17" ht="18" customHeight="1">
      <c r="A85" s="29">
        <v>852</v>
      </c>
      <c r="B85" s="29">
        <v>85204</v>
      </c>
      <c r="C85" s="47" t="s">
        <v>108</v>
      </c>
      <c r="D85" s="31">
        <v>986218</v>
      </c>
      <c r="E85" s="31" t="e">
        <f>#REF!</f>
        <v>#REF!</v>
      </c>
      <c r="F85" s="31" t="e">
        <f>#REF!</f>
        <v>#REF!</v>
      </c>
      <c r="G85" s="31" t="e">
        <f>#REF!</f>
        <v>#REF!</v>
      </c>
      <c r="H85" s="32" t="e">
        <f>#REF!</f>
        <v>#REF!</v>
      </c>
      <c r="I85" s="31">
        <v>1057408</v>
      </c>
      <c r="J85" s="31">
        <v>966246</v>
      </c>
      <c r="K85" s="31">
        <v>1057407</v>
      </c>
      <c r="L85" s="31">
        <f>4771+659</f>
        <v>5430</v>
      </c>
      <c r="M85" s="31">
        <f>1022577+29400</f>
        <v>1051977</v>
      </c>
      <c r="N85" s="31">
        <v>0</v>
      </c>
      <c r="O85" s="32">
        <v>0</v>
      </c>
      <c r="P85" s="33">
        <f t="shared" si="16"/>
        <v>99.99990542912481</v>
      </c>
      <c r="Q85" s="28"/>
    </row>
    <row r="86" spans="1:17" ht="27.75" customHeight="1">
      <c r="A86" s="29">
        <v>852</v>
      </c>
      <c r="B86" s="29">
        <v>85214</v>
      </c>
      <c r="C86" s="30" t="s">
        <v>109</v>
      </c>
      <c r="D86" s="31">
        <v>2200000</v>
      </c>
      <c r="E86" s="31" t="e">
        <f>#REF!</f>
        <v>#REF!</v>
      </c>
      <c r="F86" s="31" t="e">
        <f>#REF!</f>
        <v>#REF!</v>
      </c>
      <c r="G86" s="31" t="e">
        <f>#REF!</f>
        <v>#REF!</v>
      </c>
      <c r="H86" s="32" t="e">
        <f>#REF!</f>
        <v>#REF!</v>
      </c>
      <c r="I86" s="31">
        <f>4008610-409130-1123231</f>
        <v>2476249</v>
      </c>
      <c r="J86" s="31">
        <f>2072110-996565</f>
        <v>1075545</v>
      </c>
      <c r="K86" s="31">
        <f>4008582-409130-1123222</f>
        <v>2476230</v>
      </c>
      <c r="L86" s="31">
        <f>59020-59020</f>
        <v>0</v>
      </c>
      <c r="M86" s="31">
        <f>3949562-409130-1064202</f>
        <v>2476230</v>
      </c>
      <c r="N86" s="31">
        <v>0</v>
      </c>
      <c r="O86" s="32">
        <v>0</v>
      </c>
      <c r="P86" s="33">
        <f t="shared" si="16"/>
        <v>99.99923271044229</v>
      </c>
      <c r="Q86" s="28"/>
    </row>
    <row r="87" spans="1:17" ht="18" customHeight="1">
      <c r="A87" s="29">
        <v>852</v>
      </c>
      <c r="B87" s="29">
        <v>85215</v>
      </c>
      <c r="C87" s="30" t="s">
        <v>110</v>
      </c>
      <c r="D87" s="31">
        <v>3513174</v>
      </c>
      <c r="E87" s="31" t="e">
        <f>#REF!</f>
        <v>#REF!</v>
      </c>
      <c r="F87" s="31" t="e">
        <f>#REF!</f>
        <v>#REF!</v>
      </c>
      <c r="G87" s="31" t="e">
        <f>#REF!</f>
        <v>#REF!</v>
      </c>
      <c r="H87" s="32" t="e">
        <f>#REF!</f>
        <v>#REF!</v>
      </c>
      <c r="I87" s="31">
        <v>5628769</v>
      </c>
      <c r="J87" s="31">
        <v>2867444</v>
      </c>
      <c r="K87" s="31">
        <v>5628768</v>
      </c>
      <c r="L87" s="31">
        <v>0</v>
      </c>
      <c r="M87" s="31">
        <v>5628768</v>
      </c>
      <c r="N87" s="31">
        <v>0</v>
      </c>
      <c r="O87" s="32">
        <v>0</v>
      </c>
      <c r="P87" s="33">
        <f t="shared" si="16"/>
        <v>99.99998223412615</v>
      </c>
      <c r="Q87" s="28"/>
    </row>
    <row r="88" spans="1:17" ht="18" customHeight="1">
      <c r="A88" s="29">
        <v>852</v>
      </c>
      <c r="B88" s="37">
        <v>85219</v>
      </c>
      <c r="C88" s="30" t="s">
        <v>111</v>
      </c>
      <c r="D88" s="31">
        <v>2148236</v>
      </c>
      <c r="E88" s="31" t="e">
        <f>#REF!</f>
        <v>#REF!</v>
      </c>
      <c r="F88" s="31" t="e">
        <f>#REF!</f>
        <v>#REF!</v>
      </c>
      <c r="G88" s="31" t="e">
        <f>#REF!</f>
        <v>#REF!</v>
      </c>
      <c r="H88" s="32" t="e">
        <f>#REF!</f>
        <v>#REF!</v>
      </c>
      <c r="I88" s="31">
        <f>2349728-335338-264797</f>
        <v>1749593</v>
      </c>
      <c r="J88" s="31">
        <f>2063593-557847</f>
        <v>1505746</v>
      </c>
      <c r="K88" s="31">
        <f>2349671-264797-335322</f>
        <v>1749552</v>
      </c>
      <c r="L88" s="41">
        <f>1538822+124330+291294+40270-272400-249036</f>
        <v>1473280</v>
      </c>
      <c r="M88" s="41">
        <f>7949+94710+41767+30699+116948+6499+2714+47770+3132+2767-62922-15761</f>
        <v>276272</v>
      </c>
      <c r="N88" s="31">
        <v>0</v>
      </c>
      <c r="O88" s="32">
        <v>0</v>
      </c>
      <c r="P88" s="33">
        <f t="shared" si="16"/>
        <v>99.99765659784876</v>
      </c>
      <c r="Q88" s="28"/>
    </row>
    <row r="89" spans="1:17" ht="43.5" customHeight="1">
      <c r="A89" s="29">
        <v>852</v>
      </c>
      <c r="B89" s="37">
        <v>85220</v>
      </c>
      <c r="C89" s="47" t="s">
        <v>112</v>
      </c>
      <c r="D89" s="31">
        <v>21000</v>
      </c>
      <c r="E89" s="31" t="e">
        <f>#REF!</f>
        <v>#REF!</v>
      </c>
      <c r="F89" s="31" t="e">
        <f>#REF!</f>
        <v>#REF!</v>
      </c>
      <c r="G89" s="31" t="e">
        <f>#REF!</f>
        <v>#REF!</v>
      </c>
      <c r="H89" s="32" t="e">
        <f>#REF!</f>
        <v>#REF!</v>
      </c>
      <c r="I89" s="31">
        <v>20745</v>
      </c>
      <c r="J89" s="31">
        <v>9000</v>
      </c>
      <c r="K89" s="31">
        <v>20743</v>
      </c>
      <c r="L89" s="31">
        <v>0</v>
      </c>
      <c r="M89" s="31">
        <v>20743</v>
      </c>
      <c r="N89" s="31">
        <v>0</v>
      </c>
      <c r="O89" s="32">
        <v>0</v>
      </c>
      <c r="P89" s="33">
        <f t="shared" si="16"/>
        <v>99.99035912268016</v>
      </c>
      <c r="Q89" s="28"/>
    </row>
    <row r="90" spans="1:17" ht="30.75" customHeight="1">
      <c r="A90" s="29">
        <v>852</v>
      </c>
      <c r="B90" s="37">
        <v>85228</v>
      </c>
      <c r="C90" s="47" t="s">
        <v>113</v>
      </c>
      <c r="D90" s="31">
        <v>330000</v>
      </c>
      <c r="E90" s="31" t="e">
        <f>#REF!</f>
        <v>#REF!</v>
      </c>
      <c r="F90" s="31" t="e">
        <f>#REF!</f>
        <v>#REF!</v>
      </c>
      <c r="G90" s="31" t="e">
        <f>#REF!</f>
        <v>#REF!</v>
      </c>
      <c r="H90" s="32" t="e">
        <f>#REF!</f>
        <v>#REF!</v>
      </c>
      <c r="I90" s="31">
        <f>345767-5767</f>
        <v>340000</v>
      </c>
      <c r="J90" s="31">
        <f>334910-4910</f>
        <v>330000</v>
      </c>
      <c r="K90" s="31">
        <f>345767-5767</f>
        <v>340000</v>
      </c>
      <c r="L90" s="31">
        <v>0</v>
      </c>
      <c r="M90" s="31">
        <f>345767-5767</f>
        <v>340000</v>
      </c>
      <c r="N90" s="31">
        <v>0</v>
      </c>
      <c r="O90" s="32">
        <v>0</v>
      </c>
      <c r="P90" s="33">
        <f t="shared" si="16"/>
        <v>100</v>
      </c>
      <c r="Q90" s="28"/>
    </row>
    <row r="91" spans="1:17" ht="18" customHeight="1">
      <c r="A91" s="29">
        <v>852</v>
      </c>
      <c r="B91" s="37">
        <v>85295</v>
      </c>
      <c r="C91" s="47" t="s">
        <v>31</v>
      </c>
      <c r="D91" s="31">
        <v>41618</v>
      </c>
      <c r="E91" s="31"/>
      <c r="F91" s="31"/>
      <c r="G91" s="31"/>
      <c r="H91" s="32"/>
      <c r="I91" s="31">
        <f>83102-70725</f>
        <v>12377</v>
      </c>
      <c r="J91" s="31">
        <v>3767</v>
      </c>
      <c r="K91" s="31">
        <f>83098-70725</f>
        <v>12373</v>
      </c>
      <c r="L91" s="41">
        <f>768+116</f>
        <v>884</v>
      </c>
      <c r="M91" s="41">
        <f>83098-70725-L91</f>
        <v>11489</v>
      </c>
      <c r="N91" s="31">
        <v>0</v>
      </c>
      <c r="O91" s="32">
        <v>0</v>
      </c>
      <c r="P91" s="33">
        <f t="shared" si="16"/>
        <v>99.96768199078937</v>
      </c>
      <c r="Q91" s="28"/>
    </row>
    <row r="92" spans="1:17" ht="12.75">
      <c r="A92" s="48">
        <v>853</v>
      </c>
      <c r="B92" s="49"/>
      <c r="C92" s="50" t="s">
        <v>114</v>
      </c>
      <c r="D92" s="26">
        <f>SUM(D93:D97)</f>
        <v>1645283</v>
      </c>
      <c r="E92" s="26" t="e">
        <f aca="true" t="shared" si="18" ref="E92:O92">SUM(E93:E97)</f>
        <v>#REF!</v>
      </c>
      <c r="F92" s="26" t="e">
        <f t="shared" si="18"/>
        <v>#REF!</v>
      </c>
      <c r="G92" s="26" t="e">
        <f t="shared" si="18"/>
        <v>#REF!</v>
      </c>
      <c r="H92" s="26" t="e">
        <f t="shared" si="18"/>
        <v>#REF!</v>
      </c>
      <c r="I92" s="26">
        <f t="shared" si="18"/>
        <v>1705149</v>
      </c>
      <c r="J92" s="26">
        <f t="shared" si="18"/>
        <v>1544235</v>
      </c>
      <c r="K92" s="26">
        <f t="shared" si="18"/>
        <v>1704824</v>
      </c>
      <c r="L92" s="26">
        <f>SUM(L93:L97)</f>
        <v>1180824</v>
      </c>
      <c r="M92" s="26">
        <f>SUM(M93:M97)</f>
        <v>430200</v>
      </c>
      <c r="N92" s="26">
        <f t="shared" si="18"/>
        <v>93800</v>
      </c>
      <c r="O92" s="26">
        <f t="shared" si="18"/>
        <v>0</v>
      </c>
      <c r="P92" s="27">
        <f t="shared" si="16"/>
        <v>99.98094008206907</v>
      </c>
      <c r="Q92" s="28"/>
    </row>
    <row r="93" spans="1:17" ht="18" customHeight="1">
      <c r="A93" s="29">
        <v>853</v>
      </c>
      <c r="B93" s="29">
        <v>85305</v>
      </c>
      <c r="C93" s="30" t="s">
        <v>115</v>
      </c>
      <c r="D93" s="31">
        <v>645333</v>
      </c>
      <c r="E93" s="31"/>
      <c r="F93" s="31"/>
      <c r="G93" s="31"/>
      <c r="H93" s="32"/>
      <c r="I93" s="31">
        <v>667458</v>
      </c>
      <c r="J93" s="31">
        <v>613813</v>
      </c>
      <c r="K93" s="31">
        <v>667374</v>
      </c>
      <c r="L93" s="31">
        <f>422150+34889+77603+10723</f>
        <v>545365</v>
      </c>
      <c r="M93" s="31">
        <f>16731+26993+398+45025+6299+9999+6+58+16500</f>
        <v>122009</v>
      </c>
      <c r="N93" s="31">
        <v>0</v>
      </c>
      <c r="O93" s="32">
        <v>0</v>
      </c>
      <c r="P93" s="33">
        <f t="shared" si="16"/>
        <v>99.98741493846804</v>
      </c>
      <c r="Q93" s="28"/>
    </row>
    <row r="94" spans="1:17" ht="30.75" customHeight="1">
      <c r="A94" s="29">
        <v>853</v>
      </c>
      <c r="B94" s="37">
        <v>85321</v>
      </c>
      <c r="C94" s="30" t="s">
        <v>116</v>
      </c>
      <c r="D94" s="31">
        <v>81812</v>
      </c>
      <c r="E94" s="31" t="e">
        <f>#REF!</f>
        <v>#REF!</v>
      </c>
      <c r="F94" s="31" t="e">
        <f>#REF!</f>
        <v>#REF!</v>
      </c>
      <c r="G94" s="31" t="e">
        <f>#REF!</f>
        <v>#REF!</v>
      </c>
      <c r="H94" s="32" t="e">
        <f>#REF!</f>
        <v>#REF!</v>
      </c>
      <c r="I94" s="31">
        <f>116728-46000</f>
        <v>70728</v>
      </c>
      <c r="J94" s="31">
        <f>95048-38358</f>
        <v>56690</v>
      </c>
      <c r="K94" s="31">
        <f>116725-46000</f>
        <v>70725</v>
      </c>
      <c r="L94" s="31">
        <f>63213+2896+12256+1693-32473</f>
        <v>47585</v>
      </c>
      <c r="M94" s="31">
        <f>6720+833+1000+26027+2087-13527</f>
        <v>23140</v>
      </c>
      <c r="N94" s="31">
        <v>0</v>
      </c>
      <c r="O94" s="32">
        <v>0</v>
      </c>
      <c r="P94" s="33">
        <f t="shared" si="16"/>
        <v>99.99575839837122</v>
      </c>
      <c r="Q94" s="28"/>
    </row>
    <row r="95" spans="1:17" ht="18" customHeight="1">
      <c r="A95" s="29">
        <v>853</v>
      </c>
      <c r="B95" s="37">
        <v>85322</v>
      </c>
      <c r="C95" s="30" t="s">
        <v>117</v>
      </c>
      <c r="D95" s="31">
        <v>0</v>
      </c>
      <c r="E95" s="31"/>
      <c r="F95" s="31"/>
      <c r="G95" s="31"/>
      <c r="H95" s="32"/>
      <c r="I95" s="31">
        <v>157700</v>
      </c>
      <c r="J95" s="41">
        <v>164440</v>
      </c>
      <c r="K95" s="31">
        <v>157700</v>
      </c>
      <c r="L95" s="31">
        <f>36537</f>
        <v>36537</v>
      </c>
      <c r="M95" s="31">
        <f>109095+12068</f>
        <v>121163</v>
      </c>
      <c r="N95" s="31">
        <v>0</v>
      </c>
      <c r="O95" s="32">
        <v>0</v>
      </c>
      <c r="P95" s="33">
        <f t="shared" si="16"/>
        <v>100</v>
      </c>
      <c r="Q95" s="28"/>
    </row>
    <row r="96" spans="1:17" ht="18" customHeight="1">
      <c r="A96" s="29">
        <v>853</v>
      </c>
      <c r="B96" s="37">
        <v>85333</v>
      </c>
      <c r="C96" s="47" t="s">
        <v>118</v>
      </c>
      <c r="D96" s="31">
        <v>814638</v>
      </c>
      <c r="E96" s="31" t="e">
        <f>#REF!</f>
        <v>#REF!</v>
      </c>
      <c r="F96" s="31" t="e">
        <f>#REF!</f>
        <v>#REF!</v>
      </c>
      <c r="G96" s="31" t="e">
        <f>#REF!</f>
        <v>#REF!</v>
      </c>
      <c r="H96" s="32" t="e">
        <f>#REF!</f>
        <v>#REF!</v>
      </c>
      <c r="I96" s="31">
        <v>711163</v>
      </c>
      <c r="J96" s="31">
        <v>642208</v>
      </c>
      <c r="K96" s="31">
        <v>711163</v>
      </c>
      <c r="L96" s="31">
        <f>423097+40520+76761+10959</f>
        <v>551337</v>
      </c>
      <c r="M96" s="31">
        <f>40622+1378+90103+4000+1723+22000</f>
        <v>159826</v>
      </c>
      <c r="N96" s="31">
        <v>0</v>
      </c>
      <c r="O96" s="32">
        <v>0</v>
      </c>
      <c r="P96" s="33">
        <f t="shared" si="16"/>
        <v>100</v>
      </c>
      <c r="Q96" s="28"/>
    </row>
    <row r="97" spans="1:17" ht="18" customHeight="1">
      <c r="A97" s="29">
        <v>853</v>
      </c>
      <c r="B97" s="29">
        <v>85395</v>
      </c>
      <c r="C97" s="30" t="s">
        <v>31</v>
      </c>
      <c r="D97" s="31">
        <v>103500</v>
      </c>
      <c r="E97" s="31" t="e">
        <f>#REF!</f>
        <v>#REF!</v>
      </c>
      <c r="F97" s="31" t="e">
        <f>#REF!</f>
        <v>#REF!</v>
      </c>
      <c r="G97" s="31" t="e">
        <f>#REF!</f>
        <v>#REF!</v>
      </c>
      <c r="H97" s="32" t="e">
        <f>#REF!</f>
        <v>#REF!</v>
      </c>
      <c r="I97" s="31">
        <v>98100</v>
      </c>
      <c r="J97" s="31">
        <v>67084</v>
      </c>
      <c r="K97" s="31">
        <v>97862</v>
      </c>
      <c r="L97" s="31">
        <v>0</v>
      </c>
      <c r="M97" s="31">
        <f>1670+2392</f>
        <v>4062</v>
      </c>
      <c r="N97" s="31">
        <f>82000+11800</f>
        <v>93800</v>
      </c>
      <c r="O97" s="32">
        <v>0</v>
      </c>
      <c r="P97" s="33">
        <f t="shared" si="16"/>
        <v>99.75739041794087</v>
      </c>
      <c r="Q97" s="28"/>
    </row>
    <row r="98" spans="1:17" ht="18" customHeight="1">
      <c r="A98" s="24" t="s">
        <v>119</v>
      </c>
      <c r="B98" s="24"/>
      <c r="C98" s="25" t="s">
        <v>120</v>
      </c>
      <c r="D98" s="26">
        <f>SUM(D99:D106)</f>
        <v>5164469</v>
      </c>
      <c r="E98" s="26" t="e">
        <f aca="true" t="shared" si="19" ref="E98:O98">SUM(E99:E106)</f>
        <v>#REF!</v>
      </c>
      <c r="F98" s="26" t="e">
        <f t="shared" si="19"/>
        <v>#REF!</v>
      </c>
      <c r="G98" s="26" t="e">
        <f t="shared" si="19"/>
        <v>#REF!</v>
      </c>
      <c r="H98" s="26" t="e">
        <f t="shared" si="19"/>
        <v>#REF!</v>
      </c>
      <c r="I98" s="26">
        <f>SUM(I99:I106)</f>
        <v>5587270</v>
      </c>
      <c r="J98" s="26">
        <f>SUM(J99:J106)</f>
        <v>5164827</v>
      </c>
      <c r="K98" s="26">
        <f t="shared" si="19"/>
        <v>5562430</v>
      </c>
      <c r="L98" s="26">
        <f>SUM(L99:L106)</f>
        <v>3776197</v>
      </c>
      <c r="M98" s="26">
        <f>SUM(M99:M106)</f>
        <v>583107</v>
      </c>
      <c r="N98" s="26">
        <f t="shared" si="19"/>
        <v>1203126</v>
      </c>
      <c r="O98" s="26">
        <f t="shared" si="19"/>
        <v>0</v>
      </c>
      <c r="P98" s="27">
        <f t="shared" si="16"/>
        <v>99.5554179411412</v>
      </c>
      <c r="Q98" s="28"/>
    </row>
    <row r="99" spans="1:17" ht="18" customHeight="1">
      <c r="A99" s="37">
        <v>854</v>
      </c>
      <c r="B99" s="37">
        <v>85401</v>
      </c>
      <c r="C99" s="30" t="s">
        <v>121</v>
      </c>
      <c r="D99" s="31">
        <v>2726958</v>
      </c>
      <c r="E99" s="31" t="e">
        <f>#REF!</f>
        <v>#REF!</v>
      </c>
      <c r="F99" s="31" t="e">
        <f>#REF!</f>
        <v>#REF!</v>
      </c>
      <c r="G99" s="31" t="e">
        <f>#REF!</f>
        <v>#REF!</v>
      </c>
      <c r="H99" s="32" t="e">
        <f>#REF!</f>
        <v>#REF!</v>
      </c>
      <c r="I99" s="31">
        <v>2862319</v>
      </c>
      <c r="J99" s="31">
        <v>2722486</v>
      </c>
      <c r="K99" s="31">
        <v>2852848</v>
      </c>
      <c r="L99" s="31">
        <f>2123219+145165+391140+53147</f>
        <v>2712671</v>
      </c>
      <c r="M99" s="31">
        <f>16557+903+122717</f>
        <v>140177</v>
      </c>
      <c r="N99" s="31">
        <v>0</v>
      </c>
      <c r="O99" s="32">
        <v>0</v>
      </c>
      <c r="P99" s="33">
        <f t="shared" si="16"/>
        <v>99.66911444880881</v>
      </c>
      <c r="Q99" s="28"/>
    </row>
    <row r="100" spans="1:17" ht="18" customHeight="1">
      <c r="A100" s="37">
        <v>854</v>
      </c>
      <c r="B100" s="37">
        <v>85402</v>
      </c>
      <c r="C100" s="30" t="s">
        <v>122</v>
      </c>
      <c r="D100" s="31">
        <v>1100000</v>
      </c>
      <c r="E100" s="31" t="e">
        <f>#REF!</f>
        <v>#REF!</v>
      </c>
      <c r="F100" s="31" t="e">
        <f>#REF!</f>
        <v>#REF!</v>
      </c>
      <c r="G100" s="31" t="e">
        <f>#REF!</f>
        <v>#REF!</v>
      </c>
      <c r="H100" s="32" t="e">
        <f>#REF!</f>
        <v>#REF!</v>
      </c>
      <c r="I100" s="31">
        <v>1203126</v>
      </c>
      <c r="J100" s="31">
        <v>1100000</v>
      </c>
      <c r="K100" s="31">
        <v>1203126</v>
      </c>
      <c r="L100" s="31">
        <v>0</v>
      </c>
      <c r="M100" s="31">
        <v>0</v>
      </c>
      <c r="N100" s="31">
        <v>1203126</v>
      </c>
      <c r="O100" s="32">
        <v>0</v>
      </c>
      <c r="P100" s="33">
        <f t="shared" si="16"/>
        <v>100</v>
      </c>
      <c r="Q100" s="28"/>
    </row>
    <row r="101" spans="1:17" ht="34.5" customHeight="1">
      <c r="A101" s="37">
        <v>854</v>
      </c>
      <c r="B101" s="37">
        <v>85406</v>
      </c>
      <c r="C101" s="30" t="s">
        <v>123</v>
      </c>
      <c r="D101" s="31">
        <v>651508</v>
      </c>
      <c r="E101" s="31" t="e">
        <f>#REF!</f>
        <v>#REF!</v>
      </c>
      <c r="F101" s="31" t="e">
        <f>#REF!</f>
        <v>#REF!</v>
      </c>
      <c r="G101" s="31" t="e">
        <f>#REF!</f>
        <v>#REF!</v>
      </c>
      <c r="H101" s="32" t="e">
        <f>#REF!</f>
        <v>#REF!</v>
      </c>
      <c r="I101" s="31">
        <v>705913</v>
      </c>
      <c r="J101" s="31">
        <v>621958</v>
      </c>
      <c r="K101" s="31">
        <v>696010</v>
      </c>
      <c r="L101" s="31">
        <f>458499+36353+84494+11515</f>
        <v>590861</v>
      </c>
      <c r="M101" s="31">
        <f>1100+11591+5989+16864+12732+987+26227+194+453+29012</f>
        <v>105149</v>
      </c>
      <c r="N101" s="31">
        <v>0</v>
      </c>
      <c r="O101" s="32">
        <v>0</v>
      </c>
      <c r="P101" s="33">
        <f t="shared" si="16"/>
        <v>98.59713590768267</v>
      </c>
      <c r="Q101" s="28"/>
    </row>
    <row r="102" spans="1:17" ht="18" customHeight="1">
      <c r="A102" s="37">
        <v>854</v>
      </c>
      <c r="B102" s="37">
        <v>85407</v>
      </c>
      <c r="C102" s="30" t="s">
        <v>124</v>
      </c>
      <c r="D102" s="31">
        <v>506003</v>
      </c>
      <c r="E102" s="31" t="e">
        <f>#REF!</f>
        <v>#REF!</v>
      </c>
      <c r="F102" s="31" t="e">
        <f>#REF!</f>
        <v>#REF!</v>
      </c>
      <c r="G102" s="31" t="e">
        <f>#REF!</f>
        <v>#REF!</v>
      </c>
      <c r="H102" s="32" t="e">
        <f>#REF!</f>
        <v>#REF!</v>
      </c>
      <c r="I102" s="31">
        <v>523164</v>
      </c>
      <c r="J102" s="31">
        <v>497402</v>
      </c>
      <c r="K102" s="31">
        <v>521060</v>
      </c>
      <c r="L102" s="31">
        <f>364306+29524+69440+9395</f>
        <v>472665</v>
      </c>
      <c r="M102" s="31">
        <f>1767+3922+1000+12428+1857+411+4734+22276</f>
        <v>48395</v>
      </c>
      <c r="N102" s="31">
        <v>0</v>
      </c>
      <c r="O102" s="32">
        <v>0</v>
      </c>
      <c r="P102" s="33">
        <f t="shared" si="16"/>
        <v>99.5978316550833</v>
      </c>
      <c r="Q102" s="28"/>
    </row>
    <row r="103" spans="1:17" ht="45" customHeight="1">
      <c r="A103" s="37">
        <v>854</v>
      </c>
      <c r="B103" s="37">
        <v>85412</v>
      </c>
      <c r="C103" s="47" t="s">
        <v>125</v>
      </c>
      <c r="D103" s="31">
        <v>80000</v>
      </c>
      <c r="E103" s="31" t="e">
        <f>#REF!</f>
        <v>#REF!</v>
      </c>
      <c r="F103" s="31" t="e">
        <f>#REF!</f>
        <v>#REF!</v>
      </c>
      <c r="G103" s="31" t="e">
        <f>#REF!</f>
        <v>#REF!</v>
      </c>
      <c r="H103" s="32" t="e">
        <f>#REF!</f>
        <v>#REF!</v>
      </c>
      <c r="I103" s="31">
        <v>187600</v>
      </c>
      <c r="J103" s="31">
        <v>159433</v>
      </c>
      <c r="K103" s="31">
        <v>184438</v>
      </c>
      <c r="L103" s="31">
        <v>0</v>
      </c>
      <c r="M103" s="31">
        <v>184438</v>
      </c>
      <c r="N103" s="31">
        <v>0</v>
      </c>
      <c r="O103" s="32">
        <v>0</v>
      </c>
      <c r="P103" s="33">
        <f t="shared" si="16"/>
        <v>98.31449893390192</v>
      </c>
      <c r="Q103" s="28"/>
    </row>
    <row r="104" spans="1:17" ht="18" customHeight="1">
      <c r="A104" s="37">
        <v>854</v>
      </c>
      <c r="B104" s="37">
        <v>85415</v>
      </c>
      <c r="C104" s="47" t="s">
        <v>126</v>
      </c>
      <c r="D104" s="31">
        <v>100000</v>
      </c>
      <c r="E104" s="31"/>
      <c r="F104" s="31"/>
      <c r="G104" s="31"/>
      <c r="H104" s="32"/>
      <c r="I104" s="31">
        <f>101582-1502</f>
        <v>100080</v>
      </c>
      <c r="J104" s="31">
        <f>61982-1502</f>
        <v>60480</v>
      </c>
      <c r="K104" s="31">
        <f>101582-1502</f>
        <v>100080</v>
      </c>
      <c r="L104" s="31">
        <v>0</v>
      </c>
      <c r="M104" s="31">
        <f>101582-1502</f>
        <v>100080</v>
      </c>
      <c r="N104" s="31">
        <v>0</v>
      </c>
      <c r="O104" s="32">
        <v>0</v>
      </c>
      <c r="P104" s="33">
        <f t="shared" si="16"/>
        <v>100</v>
      </c>
      <c r="Q104" s="28"/>
    </row>
    <row r="105" spans="1:17" ht="18" customHeight="1">
      <c r="A105" s="37">
        <v>854</v>
      </c>
      <c r="B105" s="37">
        <v>85446</v>
      </c>
      <c r="C105" s="47" t="s">
        <v>96</v>
      </c>
      <c r="D105" s="31">
        <v>0</v>
      </c>
      <c r="E105" s="31"/>
      <c r="F105" s="31"/>
      <c r="G105" s="31"/>
      <c r="H105" s="32"/>
      <c r="I105" s="31">
        <v>2000</v>
      </c>
      <c r="J105" s="31">
        <v>0</v>
      </c>
      <c r="K105" s="31">
        <v>1800</v>
      </c>
      <c r="L105" s="31">
        <v>0</v>
      </c>
      <c r="M105" s="31">
        <v>1800</v>
      </c>
      <c r="N105" s="31">
        <v>0</v>
      </c>
      <c r="O105" s="32">
        <v>0</v>
      </c>
      <c r="P105" s="33">
        <f t="shared" si="16"/>
        <v>90</v>
      </c>
      <c r="Q105" s="28"/>
    </row>
    <row r="106" spans="1:17" ht="18" customHeight="1">
      <c r="A106" s="37">
        <v>854</v>
      </c>
      <c r="B106" s="37">
        <v>85495</v>
      </c>
      <c r="C106" s="47" t="s">
        <v>31</v>
      </c>
      <c r="D106" s="31">
        <v>0</v>
      </c>
      <c r="E106" s="31"/>
      <c r="F106" s="31"/>
      <c r="G106" s="31"/>
      <c r="H106" s="32"/>
      <c r="I106" s="31">
        <v>3068</v>
      </c>
      <c r="J106" s="31">
        <v>3068</v>
      </c>
      <c r="K106" s="31">
        <v>3068</v>
      </c>
      <c r="L106" s="31">
        <v>0</v>
      </c>
      <c r="M106" s="31">
        <v>3068</v>
      </c>
      <c r="N106" s="31">
        <v>0</v>
      </c>
      <c r="O106" s="32">
        <v>0</v>
      </c>
      <c r="P106" s="33">
        <f t="shared" si="16"/>
        <v>100</v>
      </c>
      <c r="Q106" s="28"/>
    </row>
    <row r="107" spans="1:17" ht="32.25" customHeight="1">
      <c r="A107" s="24" t="s">
        <v>127</v>
      </c>
      <c r="B107" s="24"/>
      <c r="C107" s="25" t="s">
        <v>128</v>
      </c>
      <c r="D107" s="26">
        <f>SUM(D108:D114)</f>
        <v>6896974</v>
      </c>
      <c r="E107" s="26" t="e">
        <f aca="true" t="shared" si="20" ref="E107:O107">SUM(E108:E114)</f>
        <v>#REF!</v>
      </c>
      <c r="F107" s="26" t="e">
        <f t="shared" si="20"/>
        <v>#REF!</v>
      </c>
      <c r="G107" s="26" t="e">
        <f t="shared" si="20"/>
        <v>#REF!</v>
      </c>
      <c r="H107" s="26" t="e">
        <f t="shared" si="20"/>
        <v>#REF!</v>
      </c>
      <c r="I107" s="26">
        <f t="shared" si="20"/>
        <v>5410481</v>
      </c>
      <c r="J107" s="26">
        <f t="shared" si="20"/>
        <v>5564903</v>
      </c>
      <c r="K107" s="26">
        <f t="shared" si="20"/>
        <v>5365828</v>
      </c>
      <c r="L107" s="26">
        <f t="shared" si="20"/>
        <v>0</v>
      </c>
      <c r="M107" s="26">
        <f t="shared" si="20"/>
        <v>4725626</v>
      </c>
      <c r="N107" s="26">
        <f t="shared" si="20"/>
        <v>0</v>
      </c>
      <c r="O107" s="26">
        <f t="shared" si="20"/>
        <v>640202</v>
      </c>
      <c r="P107" s="27">
        <f t="shared" si="16"/>
        <v>99.17469444953231</v>
      </c>
      <c r="Q107" s="28"/>
    </row>
    <row r="108" spans="1:17" ht="18" customHeight="1">
      <c r="A108" s="29">
        <v>900</v>
      </c>
      <c r="B108" s="29">
        <v>90001</v>
      </c>
      <c r="C108" s="30" t="s">
        <v>129</v>
      </c>
      <c r="D108" s="31">
        <v>467927</v>
      </c>
      <c r="E108" s="31" t="e">
        <f>#REF!</f>
        <v>#REF!</v>
      </c>
      <c r="F108" s="31" t="e">
        <f>#REF!</f>
        <v>#REF!</v>
      </c>
      <c r="G108" s="31" t="e">
        <f>#REF!</f>
        <v>#REF!</v>
      </c>
      <c r="H108" s="32" t="e">
        <f>#REF!</f>
        <v>#REF!</v>
      </c>
      <c r="I108" s="31">
        <v>387070</v>
      </c>
      <c r="J108" s="31">
        <v>292277</v>
      </c>
      <c r="K108" s="31">
        <v>387067</v>
      </c>
      <c r="L108" s="31">
        <v>0</v>
      </c>
      <c r="M108" s="31">
        <f>9962+85632+20340+6</f>
        <v>115940</v>
      </c>
      <c r="N108" s="31">
        <v>0</v>
      </c>
      <c r="O108" s="32">
        <v>271127</v>
      </c>
      <c r="P108" s="33">
        <f t="shared" si="16"/>
        <v>99.99922494639213</v>
      </c>
      <c r="Q108" s="28"/>
    </row>
    <row r="109" spans="1:17" ht="18" customHeight="1">
      <c r="A109" s="29">
        <v>900</v>
      </c>
      <c r="B109" s="29">
        <v>90003</v>
      </c>
      <c r="C109" s="30" t="s">
        <v>130</v>
      </c>
      <c r="D109" s="31">
        <v>2820000</v>
      </c>
      <c r="E109" s="31" t="e">
        <f>#REF!</f>
        <v>#REF!</v>
      </c>
      <c r="F109" s="31" t="e">
        <f>#REF!</f>
        <v>#REF!</v>
      </c>
      <c r="G109" s="31" t="e">
        <f>#REF!</f>
        <v>#REF!</v>
      </c>
      <c r="H109" s="32" t="e">
        <f>#REF!</f>
        <v>#REF!</v>
      </c>
      <c r="I109" s="31">
        <v>2437002</v>
      </c>
      <c r="J109" s="31">
        <v>2410074</v>
      </c>
      <c r="K109" s="31">
        <v>2437000</v>
      </c>
      <c r="L109" s="31">
        <v>0</v>
      </c>
      <c r="M109" s="31">
        <v>2437000</v>
      </c>
      <c r="N109" s="31">
        <v>0</v>
      </c>
      <c r="O109" s="32">
        <v>0</v>
      </c>
      <c r="P109" s="33">
        <f t="shared" si="16"/>
        <v>99.9999179319508</v>
      </c>
      <c r="Q109" s="28"/>
    </row>
    <row r="110" spans="1:17" ht="18" customHeight="1">
      <c r="A110" s="29">
        <v>900</v>
      </c>
      <c r="B110" s="29">
        <v>90004</v>
      </c>
      <c r="C110" s="30" t="s">
        <v>131</v>
      </c>
      <c r="D110" s="31">
        <v>406223</v>
      </c>
      <c r="E110" s="31" t="e">
        <f>#REF!</f>
        <v>#REF!</v>
      </c>
      <c r="F110" s="31" t="e">
        <f>#REF!</f>
        <v>#REF!</v>
      </c>
      <c r="G110" s="31" t="e">
        <f>#REF!</f>
        <v>#REF!</v>
      </c>
      <c r="H110" s="32" t="e">
        <f>#REF!</f>
        <v>#REF!</v>
      </c>
      <c r="I110" s="31">
        <v>404868</v>
      </c>
      <c r="J110" s="31">
        <v>404429</v>
      </c>
      <c r="K110" s="31">
        <v>403834</v>
      </c>
      <c r="L110" s="31">
        <v>0</v>
      </c>
      <c r="M110" s="31">
        <v>199405</v>
      </c>
      <c r="N110" s="31">
        <v>0</v>
      </c>
      <c r="O110" s="32">
        <v>204429</v>
      </c>
      <c r="P110" s="33">
        <f t="shared" si="16"/>
        <v>99.74460811918946</v>
      </c>
      <c r="Q110" s="28"/>
    </row>
    <row r="111" spans="1:17" ht="18" customHeight="1">
      <c r="A111" s="29">
        <v>900</v>
      </c>
      <c r="B111" s="29">
        <v>90013</v>
      </c>
      <c r="C111" s="30" t="s">
        <v>132</v>
      </c>
      <c r="D111" s="31">
        <v>34000</v>
      </c>
      <c r="E111" s="31" t="e">
        <f>#REF!</f>
        <v>#REF!</v>
      </c>
      <c r="F111" s="31" t="e">
        <f>#REF!</f>
        <v>#REF!</v>
      </c>
      <c r="G111" s="31" t="e">
        <f>#REF!</f>
        <v>#REF!</v>
      </c>
      <c r="H111" s="32" t="e">
        <f>#REF!</f>
        <v>#REF!</v>
      </c>
      <c r="I111" s="31">
        <v>33362</v>
      </c>
      <c r="J111" s="31">
        <v>31952</v>
      </c>
      <c r="K111" s="31">
        <v>33212</v>
      </c>
      <c r="L111" s="31">
        <v>0</v>
      </c>
      <c r="M111" s="31">
        <v>33212</v>
      </c>
      <c r="N111" s="31">
        <v>0</v>
      </c>
      <c r="O111" s="32">
        <v>0</v>
      </c>
      <c r="P111" s="33">
        <f t="shared" si="16"/>
        <v>99.55038666746599</v>
      </c>
      <c r="Q111" s="28"/>
    </row>
    <row r="112" spans="1:17" ht="18" customHeight="1">
      <c r="A112" s="29">
        <v>900</v>
      </c>
      <c r="B112" s="29">
        <v>90015</v>
      </c>
      <c r="C112" s="30" t="s">
        <v>133</v>
      </c>
      <c r="D112" s="31">
        <v>2877370</v>
      </c>
      <c r="E112" s="31" t="e">
        <f>#REF!</f>
        <v>#REF!</v>
      </c>
      <c r="F112" s="31" t="e">
        <f>#REF!</f>
        <v>#REF!</v>
      </c>
      <c r="G112" s="31" t="e">
        <f>#REF!</f>
        <v>#REF!</v>
      </c>
      <c r="H112" s="32" t="e">
        <f>#REF!</f>
        <v>#REF!</v>
      </c>
      <c r="I112" s="31">
        <f>2314651-457017</f>
        <v>1857634</v>
      </c>
      <c r="J112" s="31">
        <f>2682714-457017</f>
        <v>2225697</v>
      </c>
      <c r="K112" s="31">
        <f>2271459-457017</f>
        <v>1814442</v>
      </c>
      <c r="L112" s="31">
        <v>0</v>
      </c>
      <c r="M112" s="31">
        <f>11317+1337045+814349-457017</f>
        <v>1705694</v>
      </c>
      <c r="N112" s="31">
        <v>0</v>
      </c>
      <c r="O112" s="32">
        <v>108748</v>
      </c>
      <c r="P112" s="33">
        <f t="shared" si="16"/>
        <v>97.67489182476203</v>
      </c>
      <c r="Q112" s="28"/>
    </row>
    <row r="113" spans="1:17" ht="18" customHeight="1">
      <c r="A113" s="29">
        <v>900</v>
      </c>
      <c r="B113" s="29">
        <v>90017</v>
      </c>
      <c r="C113" s="30" t="s">
        <v>134</v>
      </c>
      <c r="D113" s="31">
        <v>0</v>
      </c>
      <c r="E113" s="31"/>
      <c r="F113" s="31"/>
      <c r="G113" s="31"/>
      <c r="H113" s="32"/>
      <c r="I113" s="31">
        <v>50000</v>
      </c>
      <c r="J113" s="31">
        <v>0</v>
      </c>
      <c r="K113" s="31">
        <v>50000</v>
      </c>
      <c r="L113" s="31">
        <v>0</v>
      </c>
      <c r="M113" s="31">
        <v>0</v>
      </c>
      <c r="N113" s="31">
        <v>0</v>
      </c>
      <c r="O113" s="32">
        <v>50000</v>
      </c>
      <c r="P113" s="33">
        <f t="shared" si="16"/>
        <v>100</v>
      </c>
      <c r="Q113" s="28"/>
    </row>
    <row r="114" spans="1:17" ht="18" customHeight="1">
      <c r="A114" s="29">
        <v>900</v>
      </c>
      <c r="B114" s="29">
        <v>90095</v>
      </c>
      <c r="C114" s="30" t="s">
        <v>31</v>
      </c>
      <c r="D114" s="31">
        <v>291454</v>
      </c>
      <c r="E114" s="31" t="e">
        <f>#REF!</f>
        <v>#REF!</v>
      </c>
      <c r="F114" s="31" t="e">
        <f>#REF!</f>
        <v>#REF!</v>
      </c>
      <c r="G114" s="31" t="e">
        <f>#REF!</f>
        <v>#REF!</v>
      </c>
      <c r="H114" s="32" t="e">
        <f>#REF!</f>
        <v>#REF!</v>
      </c>
      <c r="I114" s="31">
        <v>240545</v>
      </c>
      <c r="J114" s="31">
        <v>200474</v>
      </c>
      <c r="K114" s="31">
        <v>240273</v>
      </c>
      <c r="L114" s="31">
        <v>0</v>
      </c>
      <c r="M114" s="31">
        <f>18175+150+90730+124320+1000</f>
        <v>234375</v>
      </c>
      <c r="N114" s="31">
        <v>0</v>
      </c>
      <c r="O114" s="32">
        <v>5898</v>
      </c>
      <c r="P114" s="33">
        <f t="shared" si="16"/>
        <v>99.8869234446777</v>
      </c>
      <c r="Q114" s="28"/>
    </row>
    <row r="115" spans="1:17" ht="18" customHeight="1">
      <c r="A115" s="24" t="s">
        <v>135</v>
      </c>
      <c r="B115" s="24"/>
      <c r="C115" s="25" t="s">
        <v>136</v>
      </c>
      <c r="D115" s="26">
        <f>SUM(D116:D121)</f>
        <v>4688091</v>
      </c>
      <c r="E115" s="26" t="e">
        <f aca="true" t="shared" si="21" ref="E115:O115">SUM(E116:E121)</f>
        <v>#REF!</v>
      </c>
      <c r="F115" s="26" t="e">
        <f t="shared" si="21"/>
        <v>#REF!</v>
      </c>
      <c r="G115" s="26" t="e">
        <f t="shared" si="21"/>
        <v>#REF!</v>
      </c>
      <c r="H115" s="26" t="e">
        <f t="shared" si="21"/>
        <v>#REF!</v>
      </c>
      <c r="I115" s="26">
        <f t="shared" si="21"/>
        <v>5193673</v>
      </c>
      <c r="J115" s="26">
        <f t="shared" si="21"/>
        <v>4749656</v>
      </c>
      <c r="K115" s="26">
        <f t="shared" si="21"/>
        <v>5188242</v>
      </c>
      <c r="L115" s="26">
        <f t="shared" si="21"/>
        <v>0</v>
      </c>
      <c r="M115" s="26">
        <f t="shared" si="21"/>
        <v>570331</v>
      </c>
      <c r="N115" s="26">
        <f t="shared" si="21"/>
        <v>4609500</v>
      </c>
      <c r="O115" s="26">
        <f t="shared" si="21"/>
        <v>8411</v>
      </c>
      <c r="P115" s="27">
        <f t="shared" si="16"/>
        <v>99.89543045933004</v>
      </c>
      <c r="Q115" s="28"/>
    </row>
    <row r="116" spans="1:17" ht="18" customHeight="1">
      <c r="A116" s="37">
        <v>921</v>
      </c>
      <c r="B116" s="37">
        <v>92109</v>
      </c>
      <c r="C116" s="30" t="s">
        <v>137</v>
      </c>
      <c r="D116" s="31">
        <v>1350000</v>
      </c>
      <c r="E116" s="31" t="e">
        <f>#REF!</f>
        <v>#REF!</v>
      </c>
      <c r="F116" s="31" t="e">
        <f>#REF!</f>
        <v>#REF!</v>
      </c>
      <c r="G116" s="31" t="e">
        <f>#REF!</f>
        <v>#REF!</v>
      </c>
      <c r="H116" s="32" t="e">
        <f>#REF!</f>
        <v>#REF!</v>
      </c>
      <c r="I116" s="31">
        <v>1539000</v>
      </c>
      <c r="J116" s="31">
        <v>1345999</v>
      </c>
      <c r="K116" s="31">
        <v>1534993</v>
      </c>
      <c r="L116" s="31">
        <v>0</v>
      </c>
      <c r="M116" s="31">
        <f>120956+37</f>
        <v>120993</v>
      </c>
      <c r="N116" s="31">
        <v>1414000</v>
      </c>
      <c r="O116" s="32">
        <v>0</v>
      </c>
      <c r="P116" s="33">
        <f t="shared" si="16"/>
        <v>99.73963612735542</v>
      </c>
      <c r="Q116" s="28"/>
    </row>
    <row r="117" spans="1:17" ht="18" customHeight="1">
      <c r="A117" s="37">
        <v>921</v>
      </c>
      <c r="B117" s="37">
        <v>92113</v>
      </c>
      <c r="C117" s="30" t="s">
        <v>138</v>
      </c>
      <c r="D117" s="31">
        <v>1200000</v>
      </c>
      <c r="E117" s="31" t="e">
        <f>#REF!</f>
        <v>#REF!</v>
      </c>
      <c r="F117" s="31" t="e">
        <f>#REF!</f>
        <v>#REF!</v>
      </c>
      <c r="G117" s="31" t="e">
        <f>#REF!</f>
        <v>#REF!</v>
      </c>
      <c r="H117" s="32" t="e">
        <f>#REF!</f>
        <v>#REF!</v>
      </c>
      <c r="I117" s="31">
        <v>1311000</v>
      </c>
      <c r="J117" s="31">
        <v>1256000</v>
      </c>
      <c r="K117" s="31">
        <v>1311000</v>
      </c>
      <c r="L117" s="31">
        <v>0</v>
      </c>
      <c r="M117" s="31">
        <v>0</v>
      </c>
      <c r="N117" s="31">
        <v>1311000</v>
      </c>
      <c r="O117" s="32">
        <v>0</v>
      </c>
      <c r="P117" s="33">
        <f t="shared" si="16"/>
        <v>100</v>
      </c>
      <c r="Q117" s="28"/>
    </row>
    <row r="118" spans="1:17" ht="18" customHeight="1">
      <c r="A118" s="37">
        <v>921</v>
      </c>
      <c r="B118" s="37">
        <v>92116</v>
      </c>
      <c r="C118" s="30" t="s">
        <v>139</v>
      </c>
      <c r="D118" s="31">
        <v>1791000</v>
      </c>
      <c r="E118" s="31" t="e">
        <f>#REF!</f>
        <v>#REF!</v>
      </c>
      <c r="F118" s="31" t="e">
        <f>#REF!</f>
        <v>#REF!</v>
      </c>
      <c r="G118" s="31" t="e">
        <f>#REF!</f>
        <v>#REF!</v>
      </c>
      <c r="H118" s="32" t="e">
        <f>#REF!</f>
        <v>#REF!</v>
      </c>
      <c r="I118" s="31">
        <v>1922962</v>
      </c>
      <c r="J118" s="31">
        <v>1840961</v>
      </c>
      <c r="K118" s="31">
        <v>1922961</v>
      </c>
      <c r="L118" s="31">
        <v>0</v>
      </c>
      <c r="M118" s="31">
        <v>102961</v>
      </c>
      <c r="N118" s="31">
        <v>1820000</v>
      </c>
      <c r="O118" s="32">
        <v>0</v>
      </c>
      <c r="P118" s="33">
        <f t="shared" si="16"/>
        <v>99.99994799689229</v>
      </c>
      <c r="Q118" s="28"/>
    </row>
    <row r="119" spans="1:17" ht="18" customHeight="1">
      <c r="A119" s="37">
        <v>921</v>
      </c>
      <c r="B119" s="37">
        <v>92118</v>
      </c>
      <c r="C119" s="30" t="s">
        <v>140</v>
      </c>
      <c r="D119" s="31">
        <v>38000</v>
      </c>
      <c r="E119" s="31" t="e">
        <f>#REF!</f>
        <v>#REF!</v>
      </c>
      <c r="F119" s="31" t="e">
        <f>#REF!</f>
        <v>#REF!</v>
      </c>
      <c r="G119" s="31" t="e">
        <f>#REF!</f>
        <v>#REF!</v>
      </c>
      <c r="H119" s="32" t="e">
        <f>#REF!</f>
        <v>#REF!</v>
      </c>
      <c r="I119" s="31">
        <v>38000</v>
      </c>
      <c r="J119" s="31">
        <v>38000</v>
      </c>
      <c r="K119" s="31">
        <v>38000</v>
      </c>
      <c r="L119" s="31">
        <v>0</v>
      </c>
      <c r="M119" s="31">
        <v>0</v>
      </c>
      <c r="N119" s="31">
        <v>38000</v>
      </c>
      <c r="O119" s="32">
        <v>0</v>
      </c>
      <c r="P119" s="33">
        <f t="shared" si="16"/>
        <v>100</v>
      </c>
      <c r="Q119" s="28"/>
    </row>
    <row r="120" spans="1:17" ht="18" customHeight="1">
      <c r="A120" s="37">
        <v>921</v>
      </c>
      <c r="B120" s="37">
        <v>92120</v>
      </c>
      <c r="C120" s="30" t="s">
        <v>141</v>
      </c>
      <c r="D120" s="31">
        <v>66791</v>
      </c>
      <c r="E120" s="31" t="e">
        <f>#REF!</f>
        <v>#REF!</v>
      </c>
      <c r="F120" s="31" t="e">
        <f>#REF!</f>
        <v>#REF!</v>
      </c>
      <c r="G120" s="31" t="e">
        <f>#REF!</f>
        <v>#REF!</v>
      </c>
      <c r="H120" s="32" t="e">
        <f>#REF!</f>
        <v>#REF!</v>
      </c>
      <c r="I120" s="31">
        <v>48411</v>
      </c>
      <c r="J120" s="31">
        <v>8411</v>
      </c>
      <c r="K120" s="31">
        <v>48411</v>
      </c>
      <c r="L120" s="31">
        <v>0</v>
      </c>
      <c r="M120" s="31">
        <v>19000</v>
      </c>
      <c r="N120" s="31">
        <f>10000+11000</f>
        <v>21000</v>
      </c>
      <c r="O120" s="32">
        <v>8411</v>
      </c>
      <c r="P120" s="33">
        <f t="shared" si="16"/>
        <v>100</v>
      </c>
      <c r="Q120" s="28"/>
    </row>
    <row r="121" spans="1:17" ht="18" customHeight="1">
      <c r="A121" s="37">
        <v>921</v>
      </c>
      <c r="B121" s="37">
        <v>92195</v>
      </c>
      <c r="C121" s="30" t="s">
        <v>31</v>
      </c>
      <c r="D121" s="31">
        <v>242300</v>
      </c>
      <c r="E121" s="31" t="e">
        <f>#REF!</f>
        <v>#REF!</v>
      </c>
      <c r="F121" s="31" t="e">
        <f>#REF!</f>
        <v>#REF!</v>
      </c>
      <c r="G121" s="31" t="e">
        <f>#REF!</f>
        <v>#REF!</v>
      </c>
      <c r="H121" s="32" t="e">
        <f>#REF!</f>
        <v>#REF!</v>
      </c>
      <c r="I121" s="31">
        <v>334300</v>
      </c>
      <c r="J121" s="31">
        <v>260285</v>
      </c>
      <c r="K121" s="31">
        <v>332877</v>
      </c>
      <c r="L121" s="31">
        <v>0</v>
      </c>
      <c r="M121" s="31">
        <f>15130+312247</f>
        <v>327377</v>
      </c>
      <c r="N121" s="31">
        <v>5500</v>
      </c>
      <c r="O121" s="32">
        <v>0</v>
      </c>
      <c r="P121" s="33">
        <f t="shared" si="16"/>
        <v>99.57433443015256</v>
      </c>
      <c r="Q121" s="28"/>
    </row>
    <row r="122" spans="1:17" ht="18" customHeight="1">
      <c r="A122" s="51" t="s">
        <v>142</v>
      </c>
      <c r="B122" s="51"/>
      <c r="C122" s="25" t="s">
        <v>143</v>
      </c>
      <c r="D122" s="26">
        <f>SUM(D123:D124)</f>
        <v>3640437</v>
      </c>
      <c r="E122" s="26" t="e">
        <f aca="true" t="shared" si="22" ref="E122:O122">SUM(E123:E124)</f>
        <v>#REF!</v>
      </c>
      <c r="F122" s="26" t="e">
        <f t="shared" si="22"/>
        <v>#REF!</v>
      </c>
      <c r="G122" s="26" t="e">
        <f t="shared" si="22"/>
        <v>#REF!</v>
      </c>
      <c r="H122" s="26" t="e">
        <f t="shared" si="22"/>
        <v>#REF!</v>
      </c>
      <c r="I122" s="26">
        <f t="shared" si="22"/>
        <v>8066016</v>
      </c>
      <c r="J122" s="26">
        <f t="shared" si="22"/>
        <v>3412304</v>
      </c>
      <c r="K122" s="26">
        <f t="shared" si="22"/>
        <v>6148477</v>
      </c>
      <c r="L122" s="26">
        <f t="shared" si="22"/>
        <v>0</v>
      </c>
      <c r="M122" s="26">
        <f t="shared" si="22"/>
        <v>938351</v>
      </c>
      <c r="N122" s="26">
        <f t="shared" si="22"/>
        <v>1106200</v>
      </c>
      <c r="O122" s="26">
        <f t="shared" si="22"/>
        <v>4103926</v>
      </c>
      <c r="P122" s="27">
        <f t="shared" si="16"/>
        <v>76.22693780919849</v>
      </c>
      <c r="Q122" s="28"/>
    </row>
    <row r="123" spans="1:17" ht="18" customHeight="1">
      <c r="A123" s="52">
        <v>926</v>
      </c>
      <c r="B123" s="52">
        <v>92601</v>
      </c>
      <c r="C123" s="46" t="s">
        <v>144</v>
      </c>
      <c r="D123" s="31">
        <v>1824437</v>
      </c>
      <c r="E123" s="31" t="e">
        <f>#REF!</f>
        <v>#REF!</v>
      </c>
      <c r="F123" s="31" t="e">
        <f>#REF!</f>
        <v>#REF!</v>
      </c>
      <c r="G123" s="31" t="e">
        <f>#REF!</f>
        <v>#REF!</v>
      </c>
      <c r="H123" s="32" t="e">
        <f>#REF!</f>
        <v>#REF!</v>
      </c>
      <c r="I123" s="31">
        <v>5970537</v>
      </c>
      <c r="J123" s="31">
        <v>1943371</v>
      </c>
      <c r="K123" s="31">
        <v>4053926</v>
      </c>
      <c r="L123" s="31">
        <v>0</v>
      </c>
      <c r="M123" s="31">
        <v>0</v>
      </c>
      <c r="N123" s="31">
        <v>0</v>
      </c>
      <c r="O123" s="32">
        <v>4053926</v>
      </c>
      <c r="P123" s="33">
        <f>K123/I123*100</f>
        <v>67.8988506393981</v>
      </c>
      <c r="Q123" s="28"/>
    </row>
    <row r="124" spans="1:17" ht="18" customHeight="1">
      <c r="A124" s="53">
        <v>926</v>
      </c>
      <c r="B124" s="53">
        <v>92695</v>
      </c>
      <c r="C124" s="54" t="s">
        <v>31</v>
      </c>
      <c r="D124" s="55">
        <v>1816000</v>
      </c>
      <c r="E124" s="55" t="e">
        <f>#REF!</f>
        <v>#REF!</v>
      </c>
      <c r="F124" s="55" t="e">
        <f>#REF!</f>
        <v>#REF!</v>
      </c>
      <c r="G124" s="55" t="e">
        <f>#REF!</f>
        <v>#REF!</v>
      </c>
      <c r="H124" s="56" t="e">
        <f>#REF!</f>
        <v>#REF!</v>
      </c>
      <c r="I124" s="31">
        <v>2095479</v>
      </c>
      <c r="J124" s="31">
        <v>1468933</v>
      </c>
      <c r="K124" s="31">
        <v>2094551</v>
      </c>
      <c r="L124" s="31">
        <v>0</v>
      </c>
      <c r="M124" s="31">
        <f>12580+44478+881293</f>
        <v>938351</v>
      </c>
      <c r="N124" s="31">
        <f>1065000+41200</f>
        <v>1106200</v>
      </c>
      <c r="O124" s="32">
        <v>50000</v>
      </c>
      <c r="P124" s="33">
        <f t="shared" si="16"/>
        <v>99.95571418277157</v>
      </c>
      <c r="Q124" s="28"/>
    </row>
    <row r="125" spans="1:17" ht="15" customHeight="1">
      <c r="A125" s="57" t="s">
        <v>145</v>
      </c>
      <c r="B125" s="57"/>
      <c r="C125" s="57"/>
      <c r="D125" s="58">
        <f>SUM(D11:D124)/2</f>
        <v>127267361</v>
      </c>
      <c r="E125" s="58" t="e">
        <f aca="true" t="shared" si="23" ref="E125:K125">SUM(E11:E124)/2</f>
        <v>#REF!</v>
      </c>
      <c r="F125" s="58" t="e">
        <f t="shared" si="23"/>
        <v>#REF!</v>
      </c>
      <c r="G125" s="58" t="e">
        <f t="shared" si="23"/>
        <v>#REF!</v>
      </c>
      <c r="H125" s="58" t="e">
        <f t="shared" si="23"/>
        <v>#REF!</v>
      </c>
      <c r="I125" s="58">
        <f t="shared" si="23"/>
        <v>139295941</v>
      </c>
      <c r="J125" s="58">
        <f>SUM(J11:J124)/2</f>
        <v>117964362</v>
      </c>
      <c r="K125" s="58">
        <f t="shared" si="23"/>
        <v>136076559</v>
      </c>
      <c r="L125" s="58">
        <f>SUM(L11:L124)/2</f>
        <v>67890815</v>
      </c>
      <c r="M125" s="58">
        <f>SUM(M11:M124)/2</f>
        <v>44215701</v>
      </c>
      <c r="N125" s="58">
        <f>SUM(N11:N124)/2</f>
        <v>10086707</v>
      </c>
      <c r="O125" s="58">
        <f>SUM(O11:O124)/2</f>
        <v>13883336</v>
      </c>
      <c r="P125" s="27">
        <f t="shared" si="16"/>
        <v>97.68881851338368</v>
      </c>
      <c r="Q125" s="28"/>
    </row>
    <row r="126" spans="1:17" ht="15.75" customHeight="1">
      <c r="A126" s="59" t="s">
        <v>146</v>
      </c>
      <c r="B126" s="59"/>
      <c r="C126" s="59"/>
      <c r="D126" s="58">
        <f>SUM(D127)</f>
        <v>3771858</v>
      </c>
      <c r="E126" s="58" t="e">
        <f aca="true" t="shared" si="24" ref="E126:O126">SUM(E127)</f>
        <v>#REF!</v>
      </c>
      <c r="F126" s="58" t="e">
        <f t="shared" si="24"/>
        <v>#REF!</v>
      </c>
      <c r="G126" s="58" t="e">
        <f t="shared" si="24"/>
        <v>#REF!</v>
      </c>
      <c r="H126" s="58" t="e">
        <f t="shared" si="24"/>
        <v>#REF!</v>
      </c>
      <c r="I126" s="58">
        <f t="shared" si="24"/>
        <v>3630000</v>
      </c>
      <c r="J126" s="58">
        <f t="shared" si="24"/>
        <v>1815000</v>
      </c>
      <c r="K126" s="58">
        <f t="shared" si="24"/>
        <v>3630000</v>
      </c>
      <c r="L126" s="58">
        <f t="shared" si="24"/>
        <v>0</v>
      </c>
      <c r="M126" s="58">
        <f t="shared" si="24"/>
        <v>3630000</v>
      </c>
      <c r="N126" s="58">
        <f t="shared" si="24"/>
        <v>0</v>
      </c>
      <c r="O126" s="58">
        <f t="shared" si="24"/>
        <v>0</v>
      </c>
      <c r="P126" s="27">
        <f t="shared" si="16"/>
        <v>100</v>
      </c>
      <c r="Q126" s="28"/>
    </row>
    <row r="127" spans="1:17" ht="31.5" customHeight="1">
      <c r="A127" s="60" t="s">
        <v>147</v>
      </c>
      <c r="B127" s="60"/>
      <c r="C127" s="61" t="s">
        <v>148</v>
      </c>
      <c r="D127" s="62">
        <v>3771858</v>
      </c>
      <c r="E127" s="62" t="e">
        <f>#REF!</f>
        <v>#REF!</v>
      </c>
      <c r="F127" s="62" t="e">
        <f>#REF!</f>
        <v>#REF!</v>
      </c>
      <c r="G127" s="62" t="e">
        <f>#REF!</f>
        <v>#REF!</v>
      </c>
      <c r="H127" s="63" t="e">
        <f>#REF!</f>
        <v>#REF!</v>
      </c>
      <c r="I127" s="62">
        <v>3630000</v>
      </c>
      <c r="J127" s="64">
        <v>1815000</v>
      </c>
      <c r="K127" s="62">
        <v>3630000</v>
      </c>
      <c r="L127" s="62">
        <v>0</v>
      </c>
      <c r="M127" s="62">
        <v>3630000</v>
      </c>
      <c r="N127" s="62">
        <v>0</v>
      </c>
      <c r="O127" s="65">
        <v>0</v>
      </c>
      <c r="P127" s="66">
        <f t="shared" si="16"/>
        <v>100</v>
      </c>
      <c r="Q127" s="28"/>
    </row>
    <row r="128" spans="1:17" ht="18" customHeight="1">
      <c r="A128" s="67" t="s">
        <v>149</v>
      </c>
      <c r="B128" s="67"/>
      <c r="C128" s="67"/>
      <c r="D128" s="68">
        <f aca="true" t="shared" si="25" ref="D128:O128">SUM(D125:D126)</f>
        <v>131039219</v>
      </c>
      <c r="E128" s="68" t="e">
        <f t="shared" si="25"/>
        <v>#REF!</v>
      </c>
      <c r="F128" s="68" t="e">
        <f t="shared" si="25"/>
        <v>#REF!</v>
      </c>
      <c r="G128" s="68" t="e">
        <f t="shared" si="25"/>
        <v>#REF!</v>
      </c>
      <c r="H128" s="68" t="e">
        <f t="shared" si="25"/>
        <v>#REF!</v>
      </c>
      <c r="I128" s="68">
        <f t="shared" si="25"/>
        <v>142925941</v>
      </c>
      <c r="J128" s="68">
        <f t="shared" si="25"/>
        <v>119779362</v>
      </c>
      <c r="K128" s="68">
        <f t="shared" si="25"/>
        <v>139706559</v>
      </c>
      <c r="L128" s="68">
        <f t="shared" si="25"/>
        <v>67890815</v>
      </c>
      <c r="M128" s="68">
        <f t="shared" si="25"/>
        <v>47845701</v>
      </c>
      <c r="N128" s="68">
        <f t="shared" si="25"/>
        <v>10086707</v>
      </c>
      <c r="O128" s="68">
        <f t="shared" si="25"/>
        <v>13883336</v>
      </c>
      <c r="P128" s="69">
        <f t="shared" si="16"/>
        <v>97.74751736635409</v>
      </c>
      <c r="Q128" s="28"/>
    </row>
    <row r="129" spans="4:16" ht="12.75"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</row>
    <row r="130" spans="4:17" ht="12.75"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0"/>
      <c r="P130" s="70"/>
      <c r="Q130" s="28"/>
    </row>
    <row r="131" spans="4:17" ht="12.75"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28"/>
    </row>
    <row r="132" spans="4:17" ht="12.75"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28"/>
    </row>
    <row r="133" spans="4:17" ht="12.75"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28"/>
    </row>
    <row r="134" spans="4:17" ht="12.75"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28"/>
    </row>
    <row r="135" spans="4:17" ht="12.75"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28"/>
    </row>
    <row r="136" spans="4:16" ht="12.75">
      <c r="D136" s="70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</row>
    <row r="137" spans="4:16" ht="12.75">
      <c r="D137" s="70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</row>
    <row r="138" spans="4:16" ht="12.75"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</row>
    <row r="139" spans="4:16" ht="12.75">
      <c r="D139" s="70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</row>
    <row r="140" spans="4:16" ht="12.75">
      <c r="D140" s="70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</row>
    <row r="141" spans="4:15" ht="12.75"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</row>
    <row r="142" spans="4:15" ht="12.75"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</row>
    <row r="143" spans="4:15" ht="12.75">
      <c r="D143" s="70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</row>
    <row r="144" spans="4:15" ht="12.75">
      <c r="D144" s="70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</row>
    <row r="145" spans="4:15" ht="12.75">
      <c r="D145" s="70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</row>
    <row r="146" spans="4:15" ht="12.75"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</row>
    <row r="147" spans="4:15" ht="12.75">
      <c r="D147" s="70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</row>
    <row r="148" spans="4:15" ht="12.75">
      <c r="D148" s="70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</row>
    <row r="149" spans="4:15" ht="12.75">
      <c r="D149" s="70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</row>
    <row r="150" spans="4:15" ht="12.75">
      <c r="D150" s="70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</row>
    <row r="151" spans="4:15" ht="12.75">
      <c r="D151" s="70"/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</row>
    <row r="152" spans="4:15" ht="12.75">
      <c r="D152" s="70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</row>
    <row r="153" spans="4:15" ht="12.75">
      <c r="D153" s="70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</row>
    <row r="154" spans="4:15" ht="12.75">
      <c r="D154" s="70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</row>
    <row r="155" spans="4:15" ht="12.75">
      <c r="D155" s="70"/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</row>
    <row r="156" spans="4:15" ht="12.75">
      <c r="D156" s="70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</row>
    <row r="157" spans="4:15" ht="12.75">
      <c r="D157" s="70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</row>
    <row r="158" spans="4:15" ht="12.75">
      <c r="D158" s="70"/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</row>
    <row r="159" spans="4:15" ht="12.75">
      <c r="D159" s="70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</row>
  </sheetData>
  <sheetProtection selectLockedCells="1" selectUnlockedCells="1"/>
  <mergeCells count="23">
    <mergeCell ref="A1:P1"/>
    <mergeCell ref="A2:P2"/>
    <mergeCell ref="A3:P3"/>
    <mergeCell ref="A4:P4"/>
    <mergeCell ref="A5:P5"/>
    <mergeCell ref="A7:A9"/>
    <mergeCell ref="B7:B9"/>
    <mergeCell ref="C7:C9"/>
    <mergeCell ref="D7:D9"/>
    <mergeCell ref="I7:I9"/>
    <mergeCell ref="K7:K9"/>
    <mergeCell ref="L7:O7"/>
    <mergeCell ref="P7:P9"/>
    <mergeCell ref="E8:H8"/>
    <mergeCell ref="J8:J9"/>
    <mergeCell ref="L8:L9"/>
    <mergeCell ref="M8:M9"/>
    <mergeCell ref="N8:N9"/>
    <mergeCell ref="O8:O9"/>
    <mergeCell ref="A125:C125"/>
    <mergeCell ref="A126:C126"/>
    <mergeCell ref="A127:B127"/>
    <mergeCell ref="A128:C128"/>
  </mergeCells>
  <printOptions/>
  <pageMargins left="0.3902777777777778" right="0.4597222222222222" top="0.35" bottom="0.3701388888888889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2"/>
  <sheetViews>
    <sheetView view="pageBreakPreview" zoomScale="75" zoomScaleNormal="75" zoomScaleSheetLayoutView="75" workbookViewId="0" topLeftCell="D4">
      <selection activeCell="M7" sqref="M7"/>
    </sheetView>
  </sheetViews>
  <sheetFormatPr defaultColWidth="8.796875" defaultRowHeight="15"/>
  <cols>
    <col min="1" max="1" width="14.69921875" style="0" customWidth="1"/>
    <col min="2" max="2" width="12.5" style="0" customWidth="1"/>
    <col min="3" max="3" width="12.09765625" style="0" customWidth="1"/>
    <col min="4" max="4" width="11.3984375" style="0" customWidth="1"/>
    <col min="5" max="5" width="11.69921875" style="0" customWidth="1"/>
    <col min="6" max="6" width="10" style="0" customWidth="1"/>
    <col min="7" max="7" width="12.19921875" style="0" customWidth="1"/>
    <col min="8" max="8" width="11.19921875" style="0" customWidth="1"/>
    <col min="9" max="9" width="10.19921875" style="0" customWidth="1"/>
    <col min="10" max="10" width="13" style="0" customWidth="1"/>
    <col min="11" max="11" width="10" style="0" customWidth="1"/>
    <col min="12" max="12" width="3.8984375" style="0" customWidth="1"/>
    <col min="13" max="13" width="12.3984375" style="0" customWidth="1"/>
  </cols>
  <sheetData>
    <row r="1" spans="1:12" ht="18" customHeight="1">
      <c r="A1" s="72" t="s">
        <v>150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3"/>
    </row>
    <row r="2" spans="1:11" ht="58.5" customHeight="1">
      <c r="A2" s="74" t="s">
        <v>151</v>
      </c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ht="15" customHeight="1">
      <c r="A3" s="74"/>
      <c r="B3" s="75"/>
      <c r="C3" s="75"/>
      <c r="D3" s="75"/>
      <c r="E3" s="75"/>
      <c r="F3" s="75"/>
      <c r="G3" s="75"/>
      <c r="H3" s="75"/>
      <c r="I3" s="75"/>
      <c r="J3" s="75"/>
      <c r="K3" s="76" t="s">
        <v>5</v>
      </c>
    </row>
    <row r="4" spans="1:11" ht="16.5" customHeight="1">
      <c r="A4" s="77" t="s">
        <v>152</v>
      </c>
      <c r="B4" s="78" t="s">
        <v>153</v>
      </c>
      <c r="C4" s="78"/>
      <c r="D4" s="78"/>
      <c r="E4" s="78"/>
      <c r="F4" s="78"/>
      <c r="G4" s="78" t="s">
        <v>154</v>
      </c>
      <c r="H4" s="78"/>
      <c r="I4" s="78"/>
      <c r="J4" s="78"/>
      <c r="K4" s="78"/>
    </row>
    <row r="5" spans="1:11" ht="76.5" customHeight="1">
      <c r="A5" s="77"/>
      <c r="B5" s="79" t="s">
        <v>155</v>
      </c>
      <c r="C5" s="80" t="s">
        <v>156</v>
      </c>
      <c r="D5" s="80" t="s">
        <v>157</v>
      </c>
      <c r="E5" s="80" t="s">
        <v>158</v>
      </c>
      <c r="F5" s="81" t="s">
        <v>159</v>
      </c>
      <c r="G5" s="79" t="s">
        <v>22</v>
      </c>
      <c r="H5" s="80" t="s">
        <v>160</v>
      </c>
      <c r="I5" s="82" t="s">
        <v>161</v>
      </c>
      <c r="J5" s="80" t="s">
        <v>162</v>
      </c>
      <c r="K5" s="81" t="s">
        <v>159</v>
      </c>
    </row>
    <row r="6" spans="1:256" s="88" customFormat="1" ht="13.5" customHeight="1">
      <c r="A6" s="83">
        <v>1</v>
      </c>
      <c r="B6" s="84">
        <v>2</v>
      </c>
      <c r="C6" s="85">
        <v>3</v>
      </c>
      <c r="D6" s="85">
        <v>4</v>
      </c>
      <c r="E6" s="85">
        <v>5</v>
      </c>
      <c r="F6" s="86">
        <v>6</v>
      </c>
      <c r="G6" s="84">
        <v>7</v>
      </c>
      <c r="H6" s="85">
        <v>8</v>
      </c>
      <c r="I6" s="87">
        <v>9</v>
      </c>
      <c r="J6" s="85">
        <v>11</v>
      </c>
      <c r="K6" s="86">
        <v>12</v>
      </c>
      <c r="IU6" s="89"/>
      <c r="IV6" s="89"/>
    </row>
    <row r="7" spans="1:11" s="96" customFormat="1" ht="48" customHeight="1">
      <c r="A7" s="90" t="s">
        <v>163</v>
      </c>
      <c r="B7" s="91">
        <f aca="true" t="shared" si="0" ref="B7:K7">SUM(B8:B9)</f>
        <v>350538</v>
      </c>
      <c r="C7" s="92">
        <f t="shared" si="0"/>
        <v>3465000</v>
      </c>
      <c r="D7" s="92">
        <f t="shared" si="0"/>
        <v>21746276</v>
      </c>
      <c r="E7" s="92">
        <f t="shared" si="0"/>
        <v>50000</v>
      </c>
      <c r="F7" s="93">
        <f t="shared" si="0"/>
        <v>25611814</v>
      </c>
      <c r="G7" s="91">
        <f t="shared" si="0"/>
        <v>148826</v>
      </c>
      <c r="H7" s="92">
        <f t="shared" si="0"/>
        <v>4686413</v>
      </c>
      <c r="I7" s="94">
        <f t="shared" si="0"/>
        <v>20735248</v>
      </c>
      <c r="J7" s="92">
        <f t="shared" si="0"/>
        <v>41327</v>
      </c>
      <c r="K7" s="95">
        <f t="shared" si="0"/>
        <v>25611814</v>
      </c>
    </row>
    <row r="8" spans="1:13" s="23" customFormat="1" ht="15.75" customHeight="1">
      <c r="A8" s="97" t="s">
        <v>164</v>
      </c>
      <c r="B8" s="98">
        <v>315408</v>
      </c>
      <c r="C8" s="99">
        <v>2400000</v>
      </c>
      <c r="D8" s="99">
        <f>16184107+3464034+942259</f>
        <v>20590400</v>
      </c>
      <c r="E8" s="99"/>
      <c r="F8" s="100">
        <f>SUM(B8:E8)</f>
        <v>23305808</v>
      </c>
      <c r="G8" s="98">
        <v>95700</v>
      </c>
      <c r="H8" s="99">
        <f>3178297+243847+589093+84877</f>
        <v>4096114</v>
      </c>
      <c r="I8" s="101">
        <f>116787+110522+495355+1137169+8562384+406138+2709900+48866+259265+123655+574220+2173+673884+2357+66945+35599+3788775</f>
        <v>19113994</v>
      </c>
      <c r="J8" s="99">
        <v>0</v>
      </c>
      <c r="K8" s="100">
        <f>SUM(G8:J8)</f>
        <v>23305808</v>
      </c>
      <c r="M8" s="102"/>
    </row>
    <row r="9" spans="1:13" s="23" customFormat="1" ht="15.75" customHeight="1">
      <c r="A9" s="103" t="s">
        <v>165</v>
      </c>
      <c r="B9" s="104">
        <v>35130</v>
      </c>
      <c r="C9" s="105">
        <v>1065000</v>
      </c>
      <c r="D9" s="105">
        <f>29440+1126436</f>
        <v>1155876</v>
      </c>
      <c r="E9" s="105">
        <v>50000</v>
      </c>
      <c r="F9" s="106">
        <f>SUM(B9:E9)</f>
        <v>2306006</v>
      </c>
      <c r="G9" s="104">
        <f>49909+3217</f>
        <v>53126</v>
      </c>
      <c r="H9" s="105">
        <f>450000+36100+91000+13199</f>
        <v>590299</v>
      </c>
      <c r="I9" s="107">
        <f>6439+452998+285359+144629+2000+500839+35600+23440+16000+34650+119300</f>
        <v>1621254</v>
      </c>
      <c r="J9" s="105">
        <v>41327</v>
      </c>
      <c r="K9" s="106">
        <f>SUM(G9:J9)</f>
        <v>2306006</v>
      </c>
      <c r="M9" s="102"/>
    </row>
    <row r="10" spans="1:13" s="23" customFormat="1" ht="50.25" customHeight="1">
      <c r="A10" s="108" t="s">
        <v>166</v>
      </c>
      <c r="B10" s="109">
        <f>SUM(B11:B15)</f>
        <v>223286</v>
      </c>
      <c r="C10" s="110">
        <f aca="true" t="shared" si="1" ref="C10:H10">SUM(C11:C15)</f>
        <v>0</v>
      </c>
      <c r="D10" s="110">
        <f t="shared" si="1"/>
        <v>1966779</v>
      </c>
      <c r="E10" s="110">
        <f t="shared" si="1"/>
        <v>0</v>
      </c>
      <c r="F10" s="111">
        <f>SUM(F11:F15)</f>
        <v>2190065</v>
      </c>
      <c r="G10" s="109">
        <f t="shared" si="1"/>
        <v>0</v>
      </c>
      <c r="H10" s="110">
        <f t="shared" si="1"/>
        <v>0</v>
      </c>
      <c r="I10" s="112">
        <f>SUM(I11:I15)</f>
        <v>1939936</v>
      </c>
      <c r="J10" s="110">
        <f>SUM(J11:J15)</f>
        <v>250129</v>
      </c>
      <c r="K10" s="111">
        <f>SUM(K11:K15)</f>
        <v>2190065</v>
      </c>
      <c r="M10" s="102"/>
    </row>
    <row r="11" spans="1:13" s="23" customFormat="1" ht="19.5" customHeight="1">
      <c r="A11" s="113" t="s">
        <v>167</v>
      </c>
      <c r="B11" s="98">
        <v>117702</v>
      </c>
      <c r="C11" s="99"/>
      <c r="D11" s="99">
        <v>288164</v>
      </c>
      <c r="E11" s="99"/>
      <c r="F11" s="100">
        <f>SUM(B11:E11)</f>
        <v>405866</v>
      </c>
      <c r="G11" s="98"/>
      <c r="H11" s="99"/>
      <c r="I11" s="101">
        <f>157331+110220</f>
        <v>267551</v>
      </c>
      <c r="J11" s="99">
        <v>138315</v>
      </c>
      <c r="K11" s="100">
        <f>SUM(G11:J11)</f>
        <v>405866</v>
      </c>
      <c r="M11" s="102"/>
    </row>
    <row r="12" spans="1:13" s="23" customFormat="1" ht="19.5" customHeight="1">
      <c r="A12" s="114" t="s">
        <v>168</v>
      </c>
      <c r="B12" s="98">
        <v>59621</v>
      </c>
      <c r="C12" s="99"/>
      <c r="D12" s="99">
        <v>772515</v>
      </c>
      <c r="E12" s="99"/>
      <c r="F12" s="100">
        <f>SUM(B12:E12)</f>
        <v>832136</v>
      </c>
      <c r="G12" s="98"/>
      <c r="H12" s="99"/>
      <c r="I12" s="101">
        <v>761246</v>
      </c>
      <c r="J12" s="99">
        <v>70890</v>
      </c>
      <c r="K12" s="100">
        <f>SUM(G12:J12)</f>
        <v>832136</v>
      </c>
      <c r="M12" s="102"/>
    </row>
    <row r="13" spans="1:13" s="23" customFormat="1" ht="12.75">
      <c r="A13" s="113" t="s">
        <v>169</v>
      </c>
      <c r="B13" s="98">
        <v>5279</v>
      </c>
      <c r="C13" s="99"/>
      <c r="D13" s="99">
        <v>23522</v>
      </c>
      <c r="E13" s="99"/>
      <c r="F13" s="100">
        <f>SUM(B13:E13)</f>
        <v>28801</v>
      </c>
      <c r="G13" s="98"/>
      <c r="H13" s="99"/>
      <c r="I13" s="101">
        <v>25070</v>
      </c>
      <c r="J13" s="99">
        <v>3731</v>
      </c>
      <c r="K13" s="100">
        <f>SUM(G13:J13)</f>
        <v>28801</v>
      </c>
      <c r="M13" s="102"/>
    </row>
    <row r="14" spans="1:13" s="23" customFormat="1" ht="12.75">
      <c r="A14" s="113" t="s">
        <v>170</v>
      </c>
      <c r="B14" s="98">
        <v>2245</v>
      </c>
      <c r="C14" s="99"/>
      <c r="D14" s="99">
        <v>49119</v>
      </c>
      <c r="E14" s="99"/>
      <c r="F14" s="100">
        <f>SUM(B14:E14)</f>
        <v>51364</v>
      </c>
      <c r="G14" s="98"/>
      <c r="H14" s="99"/>
      <c r="I14" s="101">
        <v>50838</v>
      </c>
      <c r="J14" s="99">
        <v>526</v>
      </c>
      <c r="K14" s="100">
        <f>SUM(G14:J14)</f>
        <v>51364</v>
      </c>
      <c r="M14" s="102"/>
    </row>
    <row r="15" spans="1:13" s="23" customFormat="1" ht="12.75">
      <c r="A15" s="115" t="s">
        <v>171</v>
      </c>
      <c r="B15" s="116">
        <v>38439</v>
      </c>
      <c r="C15" s="117"/>
      <c r="D15" s="117">
        <v>833459</v>
      </c>
      <c r="E15" s="117"/>
      <c r="F15" s="118">
        <f>SUM(B15:E15)</f>
        <v>871898</v>
      </c>
      <c r="G15" s="116"/>
      <c r="H15" s="117"/>
      <c r="I15" s="119">
        <v>835231</v>
      </c>
      <c r="J15" s="117">
        <v>36667</v>
      </c>
      <c r="K15" s="118">
        <f>SUM(G15:J15)</f>
        <v>871898</v>
      </c>
      <c r="M15" s="102"/>
    </row>
    <row r="16" spans="1:13" s="23" customFormat="1" ht="37.5" customHeight="1">
      <c r="A16" s="120" t="s">
        <v>172</v>
      </c>
      <c r="B16" s="121">
        <f aca="true" t="shared" si="2" ref="B16:J16">SUM(B17)</f>
        <v>39438</v>
      </c>
      <c r="C16" s="122">
        <f t="shared" si="2"/>
        <v>0</v>
      </c>
      <c r="D16" s="122">
        <f t="shared" si="2"/>
        <v>538844</v>
      </c>
      <c r="E16" s="122">
        <f t="shared" si="2"/>
        <v>0</v>
      </c>
      <c r="F16" s="123">
        <f t="shared" si="2"/>
        <v>578282</v>
      </c>
      <c r="G16" s="121">
        <f t="shared" si="2"/>
        <v>0</v>
      </c>
      <c r="H16" s="122">
        <f t="shared" si="2"/>
        <v>145982</v>
      </c>
      <c r="I16" s="122">
        <f t="shared" si="2"/>
        <v>321567</v>
      </c>
      <c r="J16" s="122">
        <f t="shared" si="2"/>
        <v>84917</v>
      </c>
      <c r="K16" s="123">
        <f>SUM(K17)</f>
        <v>552466</v>
      </c>
      <c r="M16" s="102"/>
    </row>
    <row r="17" spans="1:13" s="23" customFormat="1" ht="16.5" customHeight="1">
      <c r="A17" s="124" t="s">
        <v>173</v>
      </c>
      <c r="B17" s="125">
        <v>39438</v>
      </c>
      <c r="C17" s="126">
        <v>0</v>
      </c>
      <c r="D17" s="126">
        <v>538844</v>
      </c>
      <c r="E17" s="126"/>
      <c r="F17" s="127">
        <f>SUM(B17:E17)</f>
        <v>578282</v>
      </c>
      <c r="G17" s="125"/>
      <c r="H17" s="126">
        <f>112459+8537+21989+2997</f>
        <v>145982</v>
      </c>
      <c r="I17" s="126">
        <f>731+83408+26733+56848+365+45847+446+4163+103026</f>
        <v>321567</v>
      </c>
      <c r="J17" s="128">
        <v>84917</v>
      </c>
      <c r="K17" s="127">
        <f>SUM(G17:J17)</f>
        <v>552466</v>
      </c>
      <c r="M17" s="102"/>
    </row>
    <row r="18" ht="12.75">
      <c r="M18" s="28"/>
    </row>
    <row r="19" spans="2:11" ht="12.75">
      <c r="B19" s="28"/>
      <c r="C19" s="28"/>
      <c r="D19" s="28"/>
      <c r="E19" s="28"/>
      <c r="F19" s="28"/>
      <c r="G19" s="28"/>
      <c r="H19" s="28"/>
      <c r="I19" s="28"/>
      <c r="J19" s="28"/>
      <c r="K19" s="28"/>
    </row>
    <row r="22" spans="3:8" ht="12.75">
      <c r="C22" s="28"/>
      <c r="H22" s="28"/>
    </row>
  </sheetData>
  <sheetProtection selectLockedCells="1" selectUnlockedCells="1"/>
  <mergeCells count="5">
    <mergeCell ref="A1:K1"/>
    <mergeCell ref="A2:K2"/>
    <mergeCell ref="A4:A5"/>
    <mergeCell ref="B4:F4"/>
    <mergeCell ref="G4:K4"/>
  </mergeCells>
  <printOptions/>
  <pageMargins left="0.3902777777777778" right="0.3902777777777778" top="0.3402777777777778" bottom="0.3902777777777778" header="0.5118055555555555" footer="0.5118055555555555"/>
  <pageSetup horizontalDpi="300" verticalDpi="300" orientation="landscape" paperSize="9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 budżetu miasta 2001</dc:title>
  <dc:subject/>
  <dc:creator>Pion Skarbnika Miasta</dc:creator>
  <cp:keywords/>
  <dc:description/>
  <cp:lastModifiedBy>Agnieszka</cp:lastModifiedBy>
  <cp:lastPrinted>2005-03-31T12:13:49Z</cp:lastPrinted>
  <dcterms:created xsi:type="dcterms:W3CDTF">2000-09-27T10:14:28Z</dcterms:created>
  <dcterms:modified xsi:type="dcterms:W3CDTF">2005-04-07T10:12:23Z</dcterms:modified>
  <cp:category/>
  <cp:version/>
  <cp:contentType/>
  <cp:contentStatus/>
</cp:coreProperties>
</file>