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Zał. Nr 10" sheetId="1" r:id="rId1"/>
  </sheets>
  <definedNames>
    <definedName name="_xlnm.Print_Area" localSheetId="0">'Zał. Nr 10'!$A$1:$L$136</definedName>
    <definedName name="_xlnm.Print_Titles" localSheetId="0">'Zał. Nr 10'!$9:$9</definedName>
  </definedNames>
  <calcPr fullCalcOnLoad="1"/>
</workbook>
</file>

<file path=xl/sharedStrings.xml><?xml version="1.0" encoding="utf-8"?>
<sst xmlns="http://schemas.openxmlformats.org/spreadsheetml/2006/main" count="167" uniqueCount="155">
  <si>
    <t xml:space="preserve">Załącznik nr 10
         </t>
  </si>
  <si>
    <t>WYDATKI I ROZCHODY BUDŻETU SAMORZĄDOWEGO
 MIASTA MYSŁOWICE</t>
  </si>
  <si>
    <t>na dzień 30.06.2006 roku</t>
  </si>
  <si>
    <t>wg działów i rozdziałów klasyfikacji budżetowej</t>
  </si>
  <si>
    <t>(w złotych)</t>
  </si>
  <si>
    <t>Dział</t>
  </si>
  <si>
    <t>Rozdział</t>
  </si>
  <si>
    <t>Wyszczególnienie</t>
  </si>
  <si>
    <t>Plan na 2004 rok</t>
  </si>
  <si>
    <t>Plan wg URM LVII/569/05</t>
  </si>
  <si>
    <t>Plan
(po zamianach)</t>
  </si>
  <si>
    <t>Wykonanie na 30.06.06 r.</t>
  </si>
  <si>
    <t>w tym:</t>
  </si>
  <si>
    <t>%
(6:5)</t>
  </si>
  <si>
    <t>płace 
i 
pochodne</t>
  </si>
  <si>
    <t>wydatki bieżące</t>
  </si>
  <si>
    <t>wydatki majątkowe</t>
  </si>
  <si>
    <t>dotacje</t>
  </si>
  <si>
    <t>010</t>
  </si>
  <si>
    <t>Rolnictwo i łowiectwo</t>
  </si>
  <si>
    <t>01030</t>
  </si>
  <si>
    <t>Izby rolnicze</t>
  </si>
  <si>
    <t>01095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</si>
  <si>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</si>
  <si>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</si>
  <si>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</si>
  <si>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</si>
  <si>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</si>
  <si>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</si>
  <si>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</si>
  <si>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050</t>
  </si>
  <si>
    <t>Rybołówstwo i rybactwo</t>
  </si>
  <si>
    <t>05002</t>
  </si>
  <si>
    <t>Rybactwo</t>
  </si>
  <si>
    <t>600</t>
  </si>
  <si>
    <t>Transport i łączność</t>
  </si>
  <si>
    <t>Lokalny transport zbiorowy</t>
  </si>
  <si>
    <t>Drogi publiczne w miastach na prawach powiatu</t>
  </si>
  <si>
    <t>Drogi publiczne gminne</t>
  </si>
  <si>
    <t>Drogi wewnętrzne</t>
  </si>
  <si>
    <t>630</t>
  </si>
  <si>
    <t>Turystyka</t>
  </si>
  <si>
    <t>Zadania w zakresie upowszechniania turystyki</t>
  </si>
  <si>
    <t>700</t>
  </si>
  <si>
    <t>Gospodarka mieszkaniowa</t>
  </si>
  <si>
    <t>Zakłady gospodarki mieszkaniowej</t>
  </si>
  <si>
    <t>Gospodarka gruntami i nieruchomościami</t>
  </si>
  <si>
    <t>Towarzystwa budownictwa społecznego</t>
  </si>
  <si>
    <t>710</t>
  </si>
  <si>
    <t>Działalność usługowa</t>
  </si>
  <si>
    <t>Jednostki organizacji i nadzoru inwestycyjnego</t>
  </si>
  <si>
    <t>Plany zagospodarowania przestrzennego</t>
  </si>
  <si>
    <t>Opracowania geodezyjne i kartograficzne</t>
  </si>
  <si>
    <t>Nadzór budowlany</t>
  </si>
  <si>
    <t>Cmentarze</t>
  </si>
  <si>
    <t>750</t>
  </si>
  <si>
    <t>Administracja publiczna</t>
  </si>
  <si>
    <t>Starostwa powiatowe</t>
  </si>
  <si>
    <t>Rady gmin (miast i miast na prawach powiatu)</t>
  </si>
  <si>
    <t>Urzędy gmin (miast i miast na prawach powiatu)</t>
  </si>
  <si>
    <t>Komisje poborowe</t>
  </si>
  <si>
    <t>Promocja j.s.t.</t>
  </si>
  <si>
    <t>Pozostała  działalność</t>
  </si>
  <si>
    <t>754</t>
  </si>
  <si>
    <t>Bezpieczeństwo publiczne i ochrona przeciwpożarowa</t>
  </si>
  <si>
    <t>Komendy powiatowe Policji</t>
  </si>
  <si>
    <t>Komendy powiatowe Państwowej Straży Pożarnej</t>
  </si>
  <si>
    <t>Ochotnicze straże pożarne</t>
  </si>
  <si>
    <t>Obrona cywilna</t>
  </si>
  <si>
    <t>Straż Miejska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</si>
  <si>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</si>
  <si>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</si>
  <si>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</si>
  <si>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j.s.t.</t>
  </si>
  <si>
    <t>Rozliczenia z tytułu poręczeń i gwarancji udzielonych przez Skarb Państwa lub jednostkę samorządu terytorialnego</t>
  </si>
  <si>
    <t>Różne rozliczenia</t>
  </si>
  <si>
    <t>Różne rozliczenia finansowe</t>
  </si>
  <si>
    <t>Rezerwy ogólne i celowe</t>
  </si>
  <si>
    <t>801</t>
  </si>
  <si>
    <t>Oświata i wychowanie</t>
  </si>
  <si>
    <t>Szkoły podstawowe</t>
  </si>
  <si>
    <t>Szkoły podstawowe specjalne</t>
  </si>
  <si>
    <t>Oddziały przedszkolne w szkołach podstawowych</t>
  </si>
  <si>
    <t>Przedszkola</t>
  </si>
  <si>
    <t>Gimnazja</t>
  </si>
  <si>
    <t>Gimnazja specjalne</t>
  </si>
  <si>
    <t>Dowożenie uczniów do szkół</t>
  </si>
  <si>
    <t>Zespoły ekonomiczno-administracyjne szkół</t>
  </si>
  <si>
    <t>Licea ogólnokształcące</t>
  </si>
  <si>
    <t>Licea profilowane</t>
  </si>
  <si>
    <t>Szkoły zawodowe</t>
  </si>
  <si>
    <t>Szkoły zawodowe specjalne</t>
  </si>
  <si>
    <t>Centra kształcenia ustawicznego i praktycznego oraz ośrodki dokształcania zawodowego</t>
  </si>
  <si>
    <t>Komisje egzaminacyjne</t>
  </si>
  <si>
    <t>Dokształcanie i doskonalenie nauczycieli</t>
  </si>
  <si>
    <t>Szkolnictwo wyższe</t>
  </si>
  <si>
    <t>Pomoc materialna dla studentów</t>
  </si>
  <si>
    <t>851</t>
  </si>
  <si>
    <t>Ochrona zdrowia</t>
  </si>
  <si>
    <t>Szpitale ogólne</t>
  </si>
  <si>
    <t>Zakłady opiekuńczo-lecznicze i pielęgnacyjno-opiekuńcze</t>
  </si>
  <si>
    <t>Lecznictwo ambulatoryjne</t>
  </si>
  <si>
    <t>Ratownictwo medyczne</t>
  </si>
  <si>
    <t>Zwalczanie narkomanii</t>
  </si>
  <si>
    <t>Przeciwdziałanie alkoholizmowi</t>
  </si>
  <si>
    <t>Izby wytrzeźwień</t>
  </si>
  <si>
    <t>Pomoc społeczna</t>
  </si>
  <si>
    <t>Placówki opiekuńczo-wychowawcze</t>
  </si>
  <si>
    <t>Domy pomocy społecznej</t>
  </si>
  <si>
    <t>Ośrodki wsparcia</t>
  </si>
  <si>
    <t>Rodziny zastępcze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</si>
  <si>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</si>
  <si>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</si>
  <si>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</si>
  <si>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</si>
  <si>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</si>
  <si>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Centra integracji społecznej</t>
  </si>
  <si>
    <t>853</t>
  </si>
  <si>
    <t>Pozostałe zadania w zakresie polityki społecznej</t>
  </si>
  <si>
    <t>Żłobki</t>
  </si>
  <si>
    <t>Zespoły do spraw orzekania o niepełnosprawności</t>
  </si>
  <si>
    <t>Fundusz Pracy</t>
  </si>
  <si>
    <t>Powiatowe urzędy pracy</t>
  </si>
  <si>
    <t>Pomoc dla repatriantów</t>
  </si>
  <si>
    <t>854</t>
  </si>
  <si>
    <t>Edukacyjna opieka wychowawcza</t>
  </si>
  <si>
    <t>Świetlice szkolne</t>
  </si>
  <si>
    <t>Specjalne ośrodki wychowawcze</t>
  </si>
  <si>
    <t>Poradnie psychologiczno-pedagogiczne, w tym poradnie specjalistyczne</t>
  </si>
  <si>
    <t>Placówki wychowania pozaszkolnego</t>
  </si>
  <si>
    <t>Kolonie i obozy oraz inne formy wypoczynku dzieci i młodzieży szkolnej, a także szkolenia młodzieży</t>
  </si>
  <si>
    <t>Pomoc materialna dla uczniów</t>
  </si>
  <si>
    <t>900</t>
  </si>
  <si>
    <t>Gospodarka komunalna i ochrona środowiska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</si>
  <si>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</si>
  <si>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</si>
  <si>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</si>
  <si>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</si>
  <si>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</si>
  <si>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Zakłady gospodarki komunalnej</t>
  </si>
  <si>
    <t>921</t>
  </si>
  <si>
    <t>Kultura i ochrona dziedzictwa narodowego</t>
  </si>
  <si>
    <t>Domy i ośrodki kultury, świetlice i kluby</t>
  </si>
  <si>
    <t>Centra kultury i sztuki</t>
  </si>
  <si>
    <t>Biblioteki</t>
  </si>
  <si>
    <t>Muzea</t>
  </si>
  <si>
    <t>Ochrona zabytków i opieka nad zabytkami</t>
  </si>
  <si>
    <t>926</t>
  </si>
  <si>
    <t>Kultura fizyczna i sport</t>
  </si>
  <si>
    <t>Obiekty sportowe</t>
  </si>
  <si>
    <t>R A Z E M    W Y D A T K I</t>
  </si>
  <si>
    <t>R O Z C H O D Y</t>
  </si>
  <si>
    <t>§ 992</t>
  </si>
  <si>
    <t>Spłaty otrzymanych krajowych pożyczek i kredytów</t>
  </si>
  <si>
    <t>O G Ó Ł E M  W Y D A T K I  +  R O Z C H O D 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</si>
</sst>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0"/>
    <numFmt numFmtId="168" formatCode="@"/>
  </numFmts>
  <fonts count="7">
    <font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center" vertical="top"/>
    </xf>
    <xf numFmtId="165" fontId="2" fillId="0" borderId="0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left" vertical="top" wrapText="1"/>
    </xf>
    <xf numFmtId="164" fontId="3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4" fillId="0" borderId="1" xfId="0" applyFont="1" applyFill="1" applyBorder="1" applyAlignment="1">
      <alignment horizontal="right"/>
    </xf>
    <xf numFmtId="164" fontId="5" fillId="0" borderId="2" xfId="0" applyFont="1" applyBorder="1" applyAlignment="1">
      <alignment horizontal="center" vertical="center" textRotation="90"/>
    </xf>
    <xf numFmtId="164" fontId="5" fillId="0" borderId="2" xfId="0" applyFont="1" applyBorder="1" applyAlignment="1">
      <alignment horizontal="center" vertical="center" textRotation="90" wrapText="1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left" vertical="center"/>
    </xf>
    <xf numFmtId="164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3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top"/>
    </xf>
    <xf numFmtId="164" fontId="6" fillId="0" borderId="2" xfId="0" applyFont="1" applyBorder="1" applyAlignment="1">
      <alignment vertical="top" wrapText="1"/>
    </xf>
    <xf numFmtId="165" fontId="6" fillId="0" borderId="2" xfId="0" applyNumberFormat="1" applyFont="1" applyFill="1" applyBorder="1" applyAlignment="1">
      <alignment vertical="top"/>
    </xf>
    <xf numFmtId="166" fontId="6" fillId="0" borderId="2" xfId="0" applyNumberFormat="1" applyFont="1" applyFill="1" applyBorder="1" applyAlignment="1">
      <alignment vertical="top"/>
    </xf>
    <xf numFmtId="165" fontId="0" fillId="0" borderId="0" xfId="0" applyNumberFormat="1" applyAlignment="1">
      <alignment/>
    </xf>
    <xf numFmtId="167" fontId="4" fillId="0" borderId="2" xfId="0" applyNumberFormat="1" applyFont="1" applyFill="1" applyBorder="1" applyAlignment="1">
      <alignment horizontal="center" vertical="top" wrapText="1"/>
    </xf>
    <xf numFmtId="168" fontId="4" fillId="0" borderId="2" xfId="0" applyNumberFormat="1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vertical="top" wrapText="1"/>
    </xf>
    <xf numFmtId="165" fontId="4" fillId="0" borderId="2" xfId="0" applyNumberFormat="1" applyFont="1" applyFill="1" applyBorder="1" applyAlignment="1">
      <alignment vertical="top" wrapText="1"/>
    </xf>
    <xf numFmtId="166" fontId="4" fillId="0" borderId="2" xfId="0" applyNumberFormat="1" applyFont="1" applyFill="1" applyBorder="1" applyAlignment="1">
      <alignment vertical="top"/>
    </xf>
    <xf numFmtId="167" fontId="4" fillId="0" borderId="2" xfId="0" applyNumberFormat="1" applyFont="1" applyFill="1" applyBorder="1" applyAlignment="1">
      <alignment horizontal="center" vertical="top"/>
    </xf>
    <xf numFmtId="167" fontId="6" fillId="0" borderId="2" xfId="0" applyNumberFormat="1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vertical="top" wrapText="1"/>
    </xf>
    <xf numFmtId="164" fontId="3" fillId="0" borderId="0" xfId="0" applyFont="1" applyFill="1" applyAlignment="1">
      <alignment/>
    </xf>
    <xf numFmtId="167" fontId="6" fillId="0" borderId="2" xfId="0" applyNumberFormat="1" applyFont="1" applyBorder="1" applyAlignment="1">
      <alignment horizontal="center" vertical="top" wrapText="1"/>
    </xf>
    <xf numFmtId="167" fontId="4" fillId="0" borderId="2" xfId="0" applyNumberFormat="1" applyFont="1" applyBorder="1" applyAlignment="1">
      <alignment horizontal="center" vertical="top" wrapText="1"/>
    </xf>
    <xf numFmtId="167" fontId="6" fillId="0" borderId="2" xfId="0" applyNumberFormat="1" applyFont="1" applyFill="1" applyBorder="1" applyAlignment="1">
      <alignment horizontal="center" vertical="top"/>
    </xf>
    <xf numFmtId="165" fontId="6" fillId="0" borderId="2" xfId="0" applyNumberFormat="1" applyFont="1" applyFill="1" applyBorder="1" applyAlignment="1">
      <alignment vertical="top" wrapText="1"/>
    </xf>
    <xf numFmtId="164" fontId="4" fillId="0" borderId="2" xfId="0" applyFont="1" applyFill="1" applyBorder="1" applyAlignment="1">
      <alignment horizontal="center" vertical="top"/>
    </xf>
    <xf numFmtId="167" fontId="6" fillId="0" borderId="2" xfId="0" applyNumberFormat="1" applyFont="1" applyBorder="1" applyAlignment="1">
      <alignment horizontal="center" vertical="top"/>
    </xf>
    <xf numFmtId="164" fontId="3" fillId="0" borderId="0" xfId="0" applyFont="1" applyAlignment="1">
      <alignment/>
    </xf>
    <xf numFmtId="166" fontId="4" fillId="0" borderId="0" xfId="0" applyNumberFormat="1" applyFont="1" applyFill="1" applyAlignment="1">
      <alignment vertical="top"/>
    </xf>
    <xf numFmtId="165" fontId="4" fillId="0" borderId="2" xfId="0" applyNumberFormat="1" applyFont="1" applyFill="1" applyBorder="1" applyAlignment="1">
      <alignment vertical="top"/>
    </xf>
    <xf numFmtId="164" fontId="6" fillId="0" borderId="2" xfId="0" applyFont="1" applyFill="1" applyBorder="1" applyAlignment="1">
      <alignment horizontal="center" vertical="top"/>
    </xf>
    <xf numFmtId="167" fontId="4" fillId="0" borderId="3" xfId="0" applyNumberFormat="1" applyFont="1" applyFill="1" applyBorder="1" applyAlignment="1">
      <alignment horizontal="center" vertical="top"/>
    </xf>
    <xf numFmtId="164" fontId="4" fillId="0" borderId="3" xfId="0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vertical="top" wrapText="1"/>
    </xf>
    <xf numFmtId="166" fontId="4" fillId="0" borderId="3" xfId="0" applyNumberFormat="1" applyFont="1" applyFill="1" applyBorder="1" applyAlignment="1">
      <alignment vertical="top"/>
    </xf>
    <xf numFmtId="164" fontId="6" fillId="0" borderId="4" xfId="0" applyFont="1" applyBorder="1" applyAlignment="1">
      <alignment vertical="top" wrapText="1"/>
    </xf>
    <xf numFmtId="165" fontId="6" fillId="0" borderId="4" xfId="0" applyNumberFormat="1" applyFont="1" applyBorder="1" applyAlignment="1">
      <alignment vertical="top"/>
    </xf>
    <xf numFmtId="166" fontId="6" fillId="0" borderId="4" xfId="0" applyNumberFormat="1" applyFont="1" applyBorder="1" applyAlignment="1">
      <alignment vertical="top"/>
    </xf>
    <xf numFmtId="166" fontId="6" fillId="0" borderId="4" xfId="0" applyNumberFormat="1" applyFont="1" applyFill="1" applyBorder="1" applyAlignment="1">
      <alignment vertical="top"/>
    </xf>
    <xf numFmtId="164" fontId="6" fillId="0" borderId="5" xfId="0" applyFont="1" applyBorder="1" applyAlignment="1">
      <alignment vertical="top"/>
    </xf>
    <xf numFmtId="165" fontId="6" fillId="0" borderId="5" xfId="0" applyNumberFormat="1" applyFont="1" applyBorder="1" applyAlignment="1">
      <alignment vertical="top"/>
    </xf>
    <xf numFmtId="166" fontId="6" fillId="0" borderId="5" xfId="0" applyNumberFormat="1" applyFont="1" applyBorder="1" applyAlignment="1">
      <alignment vertical="top"/>
    </xf>
    <xf numFmtId="166" fontId="6" fillId="0" borderId="5" xfId="0" applyNumberFormat="1" applyFont="1" applyFill="1" applyBorder="1" applyAlignment="1">
      <alignment vertical="top"/>
    </xf>
    <xf numFmtId="164" fontId="4" fillId="0" borderId="3" xfId="0" applyFont="1" applyFill="1" applyBorder="1" applyAlignment="1">
      <alignment vertical="top"/>
    </xf>
    <xf numFmtId="165" fontId="4" fillId="0" borderId="3" xfId="0" applyNumberFormat="1" applyFont="1" applyFill="1" applyBorder="1" applyAlignment="1">
      <alignment vertical="top"/>
    </xf>
    <xf numFmtId="164" fontId="6" fillId="0" borderId="4" xfId="0" applyFont="1" applyBorder="1" applyAlignment="1">
      <alignment vertical="top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7"/>
  <sheetViews>
    <sheetView tabSelected="1" view="pageBreakPreview" zoomScale="75" zoomScaleSheetLayoutView="75" workbookViewId="0" topLeftCell="A7">
      <pane ySplit="1005" topLeftCell="A5" activePane="bottomLeft" state="split"/>
      <selection pane="topLeft" activeCell="A7" sqref="A7"/>
      <selection pane="bottomLeft" activeCell="C14" sqref="C14"/>
    </sheetView>
  </sheetViews>
  <sheetFormatPr defaultColWidth="9.140625" defaultRowHeight="12.75"/>
  <cols>
    <col min="1" max="1" width="4.8515625" style="0" customWidth="1"/>
    <col min="2" max="2" width="6.57421875" style="0" customWidth="1"/>
    <col min="3" max="3" width="35.8515625" style="0" customWidth="1"/>
    <col min="4" max="4" width="0" style="0" hidden="1" customWidth="1"/>
    <col min="5" max="6" width="12.8515625" style="0" customWidth="1"/>
    <col min="7" max="7" width="12.7109375" style="0" customWidth="1"/>
    <col min="8" max="8" width="12.57421875" style="0" customWidth="1"/>
    <col min="9" max="9" width="12.8515625" style="0" customWidth="1"/>
    <col min="10" max="10" width="11.28125" style="1" customWidth="1"/>
    <col min="11" max="11" width="10.8515625" style="1" customWidth="1"/>
    <col min="12" max="12" width="7.7109375" style="1" customWidth="1"/>
    <col min="13" max="13" width="12.00390625" style="0" customWidth="1"/>
  </cols>
  <sheetData>
    <row r="1" spans="1:12" ht="15" customHeight="1">
      <c r="A1" s="2"/>
      <c r="B1" s="2"/>
      <c r="C1" s="3"/>
      <c r="D1" s="3"/>
      <c r="E1" s="3"/>
      <c r="F1" s="3"/>
      <c r="G1" s="3"/>
      <c r="H1" s="3"/>
      <c r="I1" s="3"/>
      <c r="K1" s="4" t="s">
        <v>0</v>
      </c>
      <c r="L1" s="4"/>
    </row>
    <row r="2" spans="1:12" ht="11.25" customHeight="1">
      <c r="A2" s="2"/>
      <c r="B2" s="2"/>
      <c r="C2" s="3"/>
      <c r="D2" s="3"/>
      <c r="E2" s="3"/>
      <c r="F2" s="3"/>
      <c r="G2" s="3"/>
      <c r="H2" s="3"/>
      <c r="I2" s="3"/>
      <c r="J2" s="4"/>
      <c r="K2" s="4"/>
      <c r="L2" s="5"/>
    </row>
    <row r="3" spans="1:12" ht="33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9.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9.5" customHeight="1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1.75" customHeight="1">
      <c r="A6" s="2"/>
      <c r="B6" s="2"/>
      <c r="C6" s="9"/>
      <c r="D6" s="9"/>
      <c r="E6" s="9"/>
      <c r="F6" s="9"/>
      <c r="G6" s="9"/>
      <c r="H6" s="9"/>
      <c r="I6" s="9"/>
      <c r="J6" s="10"/>
      <c r="K6" s="11" t="s">
        <v>4</v>
      </c>
      <c r="L6" s="11"/>
    </row>
    <row r="7" spans="1:12" ht="13.5" customHeight="1">
      <c r="A7" s="12" t="s">
        <v>5</v>
      </c>
      <c r="B7" s="13" t="s">
        <v>6</v>
      </c>
      <c r="C7" s="14" t="s">
        <v>7</v>
      </c>
      <c r="D7" s="15" t="s">
        <v>8</v>
      </c>
      <c r="E7" s="16" t="s">
        <v>9</v>
      </c>
      <c r="F7" s="16" t="s">
        <v>10</v>
      </c>
      <c r="G7" s="16" t="s">
        <v>11</v>
      </c>
      <c r="H7" s="17" t="s">
        <v>12</v>
      </c>
      <c r="I7" s="17"/>
      <c r="J7" s="17"/>
      <c r="K7" s="17"/>
      <c r="L7" s="18" t="s">
        <v>13</v>
      </c>
    </row>
    <row r="8" spans="1:12" s="20" customFormat="1" ht="12.75">
      <c r="A8" s="12"/>
      <c r="B8" s="13"/>
      <c r="C8" s="14"/>
      <c r="D8" s="15"/>
      <c r="E8" s="16"/>
      <c r="F8" s="16"/>
      <c r="G8" s="16"/>
      <c r="H8" s="16" t="s">
        <v>14</v>
      </c>
      <c r="I8" s="16" t="s">
        <v>15</v>
      </c>
      <c r="J8" s="19" t="s">
        <v>16</v>
      </c>
      <c r="K8" s="19" t="s">
        <v>17</v>
      </c>
      <c r="L8" s="18"/>
    </row>
    <row r="9" spans="1:12" ht="12.75">
      <c r="A9" s="21">
        <v>1</v>
      </c>
      <c r="B9" s="21">
        <v>2</v>
      </c>
      <c r="C9" s="21">
        <v>3</v>
      </c>
      <c r="D9" s="21">
        <v>3.71428571428571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</row>
    <row r="10" spans="1:13" ht="12.75">
      <c r="A10" s="22" t="s">
        <v>18</v>
      </c>
      <c r="B10" s="22"/>
      <c r="C10" s="23" t="s">
        <v>19</v>
      </c>
      <c r="D10" s="24">
        <v>10500</v>
      </c>
      <c r="E10" s="25">
        <f aca="true" t="shared" si="0" ref="E10:K10">SUM(E11:E12)</f>
        <v>11000</v>
      </c>
      <c r="F10" s="25">
        <f t="shared" si="0"/>
        <v>11000</v>
      </c>
      <c r="G10" s="25">
        <f t="shared" si="0"/>
        <v>2235.33</v>
      </c>
      <c r="H10" s="25">
        <f t="shared" si="0"/>
        <v>0</v>
      </c>
      <c r="I10" s="25">
        <f t="shared" si="0"/>
        <v>700</v>
      </c>
      <c r="J10" s="25">
        <f t="shared" si="0"/>
        <v>0</v>
      </c>
      <c r="K10" s="25">
        <f t="shared" si="0"/>
        <v>1535.33</v>
      </c>
      <c r="L10" s="25">
        <f>(G10*100)/F10</f>
        <v>20.321181818181817</v>
      </c>
      <c r="M10" s="26">
        <f>G10-H10-I10-J10-K10</f>
        <v>0</v>
      </c>
    </row>
    <row r="11" spans="1:13" s="1" customFormat="1" ht="13.5" customHeight="1">
      <c r="A11" s="27"/>
      <c r="B11" s="28" t="s">
        <v>20</v>
      </c>
      <c r="C11" s="29" t="s">
        <v>21</v>
      </c>
      <c r="D11" s="30">
        <v>3000</v>
      </c>
      <c r="E11" s="31">
        <v>4000</v>
      </c>
      <c r="F11" s="31">
        <v>4000</v>
      </c>
      <c r="G11" s="31">
        <f>SUM(H11:K11)</f>
        <v>1535.33</v>
      </c>
      <c r="H11" s="31">
        <v>0</v>
      </c>
      <c r="I11" s="31">
        <v>0</v>
      </c>
      <c r="J11" s="31">
        <v>0</v>
      </c>
      <c r="K11" s="31">
        <v>1535.33</v>
      </c>
      <c r="L11" s="31">
        <f aca="true" t="shared" si="1" ref="L11:L79">(G11*100)/F11</f>
        <v>38.38325</v>
      </c>
      <c r="M11" s="26">
        <f aca="true" t="shared" si="2" ref="M11:M79">G11-H11-I11-J11-K11</f>
        <v>0</v>
      </c>
    </row>
    <row r="12" spans="1:13" s="1" customFormat="1" ht="14.25" customHeight="1">
      <c r="A12" s="27"/>
      <c r="B12" s="27" t="s">
        <v>22</v>
      </c>
      <c r="C12" s="29" t="s">
        <v>23</v>
      </c>
      <c r="D12" s="30">
        <v>6500</v>
      </c>
      <c r="E12" s="31">
        <v>7000</v>
      </c>
      <c r="F12" s="31">
        <v>7000</v>
      </c>
      <c r="G12" s="31">
        <f>SUM(H12:K12)</f>
        <v>700</v>
      </c>
      <c r="H12" s="31">
        <v>0</v>
      </c>
      <c r="I12" s="31">
        <v>700</v>
      </c>
      <c r="J12" s="31">
        <v>0</v>
      </c>
      <c r="K12" s="31">
        <v>0</v>
      </c>
      <c r="L12" s="31">
        <f t="shared" si="1"/>
        <v>10</v>
      </c>
      <c r="M12" s="26">
        <f t="shared" si="2"/>
        <v>0</v>
      </c>
    </row>
    <row r="13" spans="1:13" ht="12.75">
      <c r="A13" s="22" t="s">
        <v>24</v>
      </c>
      <c r="B13" s="22"/>
      <c r="C13" s="23" t="s">
        <v>25</v>
      </c>
      <c r="D13" s="24">
        <v>6000</v>
      </c>
      <c r="E13" s="25">
        <f>SUM(E14:E15)</f>
        <v>27000</v>
      </c>
      <c r="F13" s="25">
        <f aca="true" t="shared" si="3" ref="F13:K13">SUM(F14:F15)</f>
        <v>27000</v>
      </c>
      <c r="G13" s="25">
        <f t="shared" si="3"/>
        <v>0</v>
      </c>
      <c r="H13" s="25">
        <f t="shared" si="3"/>
        <v>0</v>
      </c>
      <c r="I13" s="25">
        <f t="shared" si="3"/>
        <v>0</v>
      </c>
      <c r="J13" s="25">
        <f t="shared" si="3"/>
        <v>0</v>
      </c>
      <c r="K13" s="25">
        <f t="shared" si="3"/>
        <v>0</v>
      </c>
      <c r="L13" s="25">
        <f t="shared" si="1"/>
        <v>0</v>
      </c>
      <c r="M13" s="26">
        <f t="shared" si="2"/>
        <v>0</v>
      </c>
    </row>
    <row r="14" spans="1:13" s="1" customFormat="1" ht="13.5" customHeight="1">
      <c r="A14" s="27"/>
      <c r="B14" s="27" t="s">
        <v>26</v>
      </c>
      <c r="C14" s="29" t="s">
        <v>27</v>
      </c>
      <c r="D14" s="30">
        <v>0</v>
      </c>
      <c r="E14" s="31">
        <v>3000</v>
      </c>
      <c r="F14" s="31">
        <v>3000</v>
      </c>
      <c r="G14" s="31">
        <f aca="true" t="shared" si="4" ref="G14:G74">SUM(H14:K14)</f>
        <v>0</v>
      </c>
      <c r="H14" s="31">
        <v>0</v>
      </c>
      <c r="I14" s="31">
        <v>0</v>
      </c>
      <c r="J14" s="31">
        <v>0</v>
      </c>
      <c r="K14" s="31">
        <v>0</v>
      </c>
      <c r="L14" s="31">
        <f t="shared" si="1"/>
        <v>0</v>
      </c>
      <c r="M14" s="26">
        <f t="shared" si="2"/>
        <v>0</v>
      </c>
    </row>
    <row r="15" spans="1:13" s="1" customFormat="1" ht="14.25" customHeight="1">
      <c r="A15" s="27"/>
      <c r="B15" s="27" t="s">
        <v>28</v>
      </c>
      <c r="C15" s="29" t="s">
        <v>29</v>
      </c>
      <c r="D15" s="30">
        <v>6000</v>
      </c>
      <c r="E15" s="31">
        <v>24000</v>
      </c>
      <c r="F15" s="31">
        <v>24000</v>
      </c>
      <c r="G15" s="31">
        <f t="shared" si="4"/>
        <v>0</v>
      </c>
      <c r="H15" s="31">
        <v>0</v>
      </c>
      <c r="I15" s="31">
        <v>0</v>
      </c>
      <c r="J15" s="31">
        <v>0</v>
      </c>
      <c r="K15" s="31">
        <v>0</v>
      </c>
      <c r="L15" s="31">
        <f t="shared" si="1"/>
        <v>0</v>
      </c>
      <c r="M15" s="26">
        <f t="shared" si="2"/>
        <v>0</v>
      </c>
    </row>
    <row r="16" spans="1:13" ht="12.75">
      <c r="A16" s="22" t="s">
        <v>30</v>
      </c>
      <c r="B16" s="22"/>
      <c r="C16" s="23" t="s">
        <v>31</v>
      </c>
      <c r="D16" s="24">
        <v>200</v>
      </c>
      <c r="E16" s="25">
        <f>SUM(E17)</f>
        <v>200</v>
      </c>
      <c r="F16" s="25">
        <f aca="true" t="shared" si="5" ref="F16:K16">SUM(F17)</f>
        <v>200</v>
      </c>
      <c r="G16" s="25">
        <f t="shared" si="5"/>
        <v>0</v>
      </c>
      <c r="H16" s="25">
        <f t="shared" si="5"/>
        <v>0</v>
      </c>
      <c r="I16" s="25">
        <f t="shared" si="5"/>
        <v>0</v>
      </c>
      <c r="J16" s="25">
        <f t="shared" si="5"/>
        <v>0</v>
      </c>
      <c r="K16" s="25">
        <f t="shared" si="5"/>
        <v>0</v>
      </c>
      <c r="L16" s="25">
        <f t="shared" si="1"/>
        <v>0</v>
      </c>
      <c r="M16" s="26">
        <f t="shared" si="2"/>
        <v>0</v>
      </c>
    </row>
    <row r="17" spans="1:13" s="1" customFormat="1" ht="15.75" customHeight="1">
      <c r="A17" s="27"/>
      <c r="B17" s="27" t="s">
        <v>32</v>
      </c>
      <c r="C17" s="29" t="s">
        <v>33</v>
      </c>
      <c r="D17" s="30">
        <v>200</v>
      </c>
      <c r="E17" s="31">
        <v>200</v>
      </c>
      <c r="F17" s="31">
        <v>200</v>
      </c>
      <c r="G17" s="31">
        <f t="shared" si="4"/>
        <v>0</v>
      </c>
      <c r="H17" s="31">
        <v>0</v>
      </c>
      <c r="I17" s="31">
        <v>0</v>
      </c>
      <c r="J17" s="31">
        <v>0</v>
      </c>
      <c r="K17" s="31">
        <v>0</v>
      </c>
      <c r="L17" s="31">
        <f t="shared" si="1"/>
        <v>0</v>
      </c>
      <c r="M17" s="26">
        <f t="shared" si="2"/>
        <v>0</v>
      </c>
    </row>
    <row r="18" spans="1:13" ht="12.75">
      <c r="A18" s="22" t="s">
        <v>34</v>
      </c>
      <c r="B18" s="22"/>
      <c r="C18" s="23" t="s">
        <v>35</v>
      </c>
      <c r="D18" s="24">
        <v>7595817</v>
      </c>
      <c r="E18" s="25">
        <f aca="true" t="shared" si="6" ref="E18:K18">SUM(E19:E23)</f>
        <v>30948179</v>
      </c>
      <c r="F18" s="25">
        <f t="shared" si="6"/>
        <v>25539991</v>
      </c>
      <c r="G18" s="25">
        <f t="shared" si="6"/>
        <v>6097054.16</v>
      </c>
      <c r="H18" s="25">
        <f t="shared" si="6"/>
        <v>0</v>
      </c>
      <c r="I18" s="25">
        <f t="shared" si="6"/>
        <v>3522060.8</v>
      </c>
      <c r="J18" s="25">
        <f t="shared" si="6"/>
        <v>2574993.36</v>
      </c>
      <c r="K18" s="25">
        <f t="shared" si="6"/>
        <v>0</v>
      </c>
      <c r="L18" s="25">
        <f t="shared" si="1"/>
        <v>23.87257755885662</v>
      </c>
      <c r="M18" s="26">
        <f t="shared" si="2"/>
        <v>0</v>
      </c>
    </row>
    <row r="19" spans="1:13" s="1" customFormat="1" ht="13.5" customHeight="1">
      <c r="A19" s="27"/>
      <c r="B19" s="27">
        <v>60004</v>
      </c>
      <c r="C19" s="29" t="s">
        <v>36</v>
      </c>
      <c r="D19" s="30">
        <v>3753120</v>
      </c>
      <c r="E19" s="31">
        <v>4700000</v>
      </c>
      <c r="F19" s="31">
        <v>4701000</v>
      </c>
      <c r="G19" s="31">
        <f t="shared" si="4"/>
        <v>3143898</v>
      </c>
      <c r="H19" s="31">
        <v>0</v>
      </c>
      <c r="I19" s="31">
        <v>3143898</v>
      </c>
      <c r="J19" s="31">
        <v>0</v>
      </c>
      <c r="K19" s="31">
        <v>0</v>
      </c>
      <c r="L19" s="31">
        <f t="shared" si="1"/>
        <v>66.87721761327377</v>
      </c>
      <c r="M19" s="26">
        <f t="shared" si="2"/>
        <v>0</v>
      </c>
    </row>
    <row r="20" spans="1:13" s="1" customFormat="1" ht="12.75">
      <c r="A20" s="27"/>
      <c r="B20" s="27">
        <v>60015</v>
      </c>
      <c r="C20" s="29" t="s">
        <v>37</v>
      </c>
      <c r="D20" s="30">
        <v>1636516</v>
      </c>
      <c r="E20" s="31">
        <v>22510424</v>
      </c>
      <c r="F20" s="31">
        <v>16767236</v>
      </c>
      <c r="G20" s="31">
        <f t="shared" si="4"/>
        <v>2576676.96</v>
      </c>
      <c r="H20" s="31">
        <v>0</v>
      </c>
      <c r="I20" s="31">
        <v>29798.5</v>
      </c>
      <c r="J20" s="31">
        <v>2546878.46</v>
      </c>
      <c r="K20" s="31">
        <v>0</v>
      </c>
      <c r="L20" s="31">
        <f t="shared" si="1"/>
        <v>15.367332815020914</v>
      </c>
      <c r="M20" s="26">
        <f t="shared" si="2"/>
        <v>0</v>
      </c>
    </row>
    <row r="21" spans="1:13" s="1" customFormat="1" ht="13.5" customHeight="1">
      <c r="A21" s="27"/>
      <c r="B21" s="27">
        <v>60016</v>
      </c>
      <c r="C21" s="29" t="s">
        <v>38</v>
      </c>
      <c r="D21" s="30">
        <v>171597</v>
      </c>
      <c r="E21" s="31">
        <v>1460260</v>
      </c>
      <c r="F21" s="31">
        <v>1430260</v>
      </c>
      <c r="G21" s="31">
        <f t="shared" si="4"/>
        <v>55618.619999999995</v>
      </c>
      <c r="H21" s="31">
        <v>0</v>
      </c>
      <c r="I21" s="31">
        <v>29998.62</v>
      </c>
      <c r="J21" s="31">
        <v>25620</v>
      </c>
      <c r="K21" s="31">
        <v>0</v>
      </c>
      <c r="L21" s="31">
        <f t="shared" si="1"/>
        <v>3.8887069483870067</v>
      </c>
      <c r="M21" s="26">
        <f t="shared" si="2"/>
        <v>0</v>
      </c>
    </row>
    <row r="22" spans="1:13" s="1" customFormat="1" ht="14.25" customHeight="1">
      <c r="A22" s="27"/>
      <c r="B22" s="27">
        <v>60017</v>
      </c>
      <c r="C22" s="29" t="s">
        <v>39</v>
      </c>
      <c r="D22" s="30"/>
      <c r="E22" s="31">
        <v>2495</v>
      </c>
      <c r="F22" s="31">
        <v>32495</v>
      </c>
      <c r="G22" s="31">
        <f t="shared" si="4"/>
        <v>2494.9</v>
      </c>
      <c r="H22" s="31">
        <v>0</v>
      </c>
      <c r="I22" s="31">
        <v>0</v>
      </c>
      <c r="J22" s="31">
        <v>2494.9</v>
      </c>
      <c r="K22" s="31">
        <v>0</v>
      </c>
      <c r="L22" s="31">
        <f t="shared" si="1"/>
        <v>7.67779658408986</v>
      </c>
      <c r="M22" s="26">
        <f t="shared" si="2"/>
        <v>0</v>
      </c>
    </row>
    <row r="23" spans="1:13" s="1" customFormat="1" ht="13.5" customHeight="1">
      <c r="A23" s="27"/>
      <c r="B23" s="27">
        <v>60095</v>
      </c>
      <c r="C23" s="29" t="s">
        <v>23</v>
      </c>
      <c r="D23" s="30">
        <v>2034584</v>
      </c>
      <c r="E23" s="31">
        <v>2275000</v>
      </c>
      <c r="F23" s="31">
        <v>2609000</v>
      </c>
      <c r="G23" s="31">
        <f t="shared" si="4"/>
        <v>318365.68</v>
      </c>
      <c r="H23" s="31">
        <v>0</v>
      </c>
      <c r="I23" s="31">
        <v>318365.68</v>
      </c>
      <c r="J23" s="31">
        <v>0</v>
      </c>
      <c r="K23" s="31">
        <v>0</v>
      </c>
      <c r="L23" s="31">
        <f t="shared" si="1"/>
        <v>12.202594097355309</v>
      </c>
      <c r="M23" s="26">
        <f t="shared" si="2"/>
        <v>0</v>
      </c>
    </row>
    <row r="24" spans="1:13" ht="12.75">
      <c r="A24" s="22" t="s">
        <v>40</v>
      </c>
      <c r="B24" s="22"/>
      <c r="C24" s="23" t="s">
        <v>41</v>
      </c>
      <c r="D24" s="24">
        <v>5000</v>
      </c>
      <c r="E24" s="25">
        <f>SUM(E25)</f>
        <v>15000</v>
      </c>
      <c r="F24" s="25">
        <f aca="true" t="shared" si="7" ref="F24:K24">SUM(F25)</f>
        <v>15000</v>
      </c>
      <c r="G24" s="25">
        <f t="shared" si="7"/>
        <v>0</v>
      </c>
      <c r="H24" s="25">
        <f t="shared" si="7"/>
        <v>0</v>
      </c>
      <c r="I24" s="25">
        <f t="shared" si="7"/>
        <v>0</v>
      </c>
      <c r="J24" s="25">
        <f t="shared" si="7"/>
        <v>0</v>
      </c>
      <c r="K24" s="25">
        <f t="shared" si="7"/>
        <v>0</v>
      </c>
      <c r="L24" s="25">
        <f t="shared" si="1"/>
        <v>0</v>
      </c>
      <c r="M24" s="26">
        <f t="shared" si="2"/>
        <v>0</v>
      </c>
    </row>
    <row r="25" spans="1:13" s="1" customFormat="1" ht="14.25" customHeight="1">
      <c r="A25" s="32"/>
      <c r="B25" s="32">
        <v>63003</v>
      </c>
      <c r="C25" s="29" t="s">
        <v>42</v>
      </c>
      <c r="D25" s="30">
        <v>5000</v>
      </c>
      <c r="E25" s="31">
        <v>15000</v>
      </c>
      <c r="F25" s="31">
        <v>15000</v>
      </c>
      <c r="G25" s="31">
        <f t="shared" si="4"/>
        <v>0</v>
      </c>
      <c r="H25" s="31">
        <v>0</v>
      </c>
      <c r="I25" s="31">
        <v>0</v>
      </c>
      <c r="J25" s="31">
        <v>0</v>
      </c>
      <c r="K25" s="31">
        <v>0</v>
      </c>
      <c r="L25" s="31">
        <f t="shared" si="1"/>
        <v>0</v>
      </c>
      <c r="M25" s="26">
        <f t="shared" si="2"/>
        <v>0</v>
      </c>
    </row>
    <row r="26" spans="1:13" ht="12.75">
      <c r="A26" s="22" t="s">
        <v>43</v>
      </c>
      <c r="B26" s="22"/>
      <c r="C26" s="23" t="s">
        <v>44</v>
      </c>
      <c r="D26" s="24">
        <v>7617288</v>
      </c>
      <c r="E26" s="25">
        <f>SUM(E27:E30)</f>
        <v>10311067</v>
      </c>
      <c r="F26" s="25">
        <f aca="true" t="shared" si="8" ref="F26:K26">SUM(F27:F30)</f>
        <v>21729017</v>
      </c>
      <c r="G26" s="25">
        <f t="shared" si="8"/>
        <v>6846831.7</v>
      </c>
      <c r="H26" s="25">
        <f t="shared" si="8"/>
        <v>0</v>
      </c>
      <c r="I26" s="25">
        <f t="shared" si="8"/>
        <v>3237105.7</v>
      </c>
      <c r="J26" s="25">
        <f>SUM(J27:J30)</f>
        <v>1611546</v>
      </c>
      <c r="K26" s="25">
        <f t="shared" si="8"/>
        <v>1998180</v>
      </c>
      <c r="L26" s="25">
        <f t="shared" si="1"/>
        <v>31.510084878667083</v>
      </c>
      <c r="M26" s="26">
        <f t="shared" si="2"/>
        <v>0</v>
      </c>
    </row>
    <row r="27" spans="1:13" s="1" customFormat="1" ht="13.5" customHeight="1">
      <c r="A27" s="27"/>
      <c r="B27" s="27">
        <v>70001</v>
      </c>
      <c r="C27" s="29" t="s">
        <v>45</v>
      </c>
      <c r="D27" s="30">
        <v>2400000</v>
      </c>
      <c r="E27" s="31">
        <v>2604346</v>
      </c>
      <c r="F27" s="31">
        <v>2969754</v>
      </c>
      <c r="G27" s="31">
        <f t="shared" si="4"/>
        <v>2547526</v>
      </c>
      <c r="H27" s="31">
        <v>0</v>
      </c>
      <c r="I27" s="31">
        <v>0</v>
      </c>
      <c r="J27" s="31">
        <v>549346</v>
      </c>
      <c r="K27" s="31">
        <v>1998180</v>
      </c>
      <c r="L27" s="31">
        <f t="shared" si="1"/>
        <v>85.78239140346305</v>
      </c>
      <c r="M27" s="26">
        <f t="shared" si="2"/>
        <v>0</v>
      </c>
    </row>
    <row r="28" spans="1:13" s="1" customFormat="1" ht="14.25" customHeight="1">
      <c r="A28" s="27"/>
      <c r="B28" s="27">
        <v>70005</v>
      </c>
      <c r="C28" s="29" t="s">
        <v>46</v>
      </c>
      <c r="D28" s="30">
        <v>1840390</v>
      </c>
      <c r="E28" s="31">
        <v>1461206</v>
      </c>
      <c r="F28" s="31">
        <f>5600129-155937</f>
        <v>5444192</v>
      </c>
      <c r="G28" s="31">
        <f t="shared" si="4"/>
        <v>100473.93000000001</v>
      </c>
      <c r="H28" s="31">
        <v>0</v>
      </c>
      <c r="I28" s="31">
        <f>24098.72+1283.63+5691.78+187474-118074.2</f>
        <v>100473.93000000001</v>
      </c>
      <c r="J28" s="31">
        <v>0</v>
      </c>
      <c r="K28" s="31">
        <v>0</v>
      </c>
      <c r="L28" s="31">
        <f t="shared" si="1"/>
        <v>1.8455251027149666</v>
      </c>
      <c r="M28" s="26">
        <f t="shared" si="2"/>
        <v>0</v>
      </c>
    </row>
    <row r="29" spans="1:13" s="1" customFormat="1" ht="15" customHeight="1">
      <c r="A29" s="27"/>
      <c r="B29" s="27">
        <v>70021</v>
      </c>
      <c r="C29" s="29" t="s">
        <v>47</v>
      </c>
      <c r="D29" s="30">
        <v>3034500</v>
      </c>
      <c r="E29" s="31">
        <v>4500000</v>
      </c>
      <c r="F29" s="31">
        <v>1050000</v>
      </c>
      <c r="G29" s="31">
        <f t="shared" si="4"/>
        <v>1050000</v>
      </c>
      <c r="H29" s="31">
        <v>0</v>
      </c>
      <c r="I29" s="31">
        <v>0</v>
      </c>
      <c r="J29" s="31">
        <v>1050000</v>
      </c>
      <c r="K29" s="31">
        <v>0</v>
      </c>
      <c r="L29" s="31">
        <f t="shared" si="1"/>
        <v>100</v>
      </c>
      <c r="M29" s="26">
        <f t="shared" si="2"/>
        <v>0</v>
      </c>
    </row>
    <row r="30" spans="1:13" s="1" customFormat="1" ht="15.75" customHeight="1">
      <c r="A30" s="27"/>
      <c r="B30" s="27">
        <v>70095</v>
      </c>
      <c r="C30" s="29" t="s">
        <v>23</v>
      </c>
      <c r="D30" s="30">
        <v>342398</v>
      </c>
      <c r="E30" s="31">
        <v>1745515</v>
      </c>
      <c r="F30" s="31">
        <v>12265071</v>
      </c>
      <c r="G30" s="31">
        <f t="shared" si="4"/>
        <v>3148831.77</v>
      </c>
      <c r="H30" s="31">
        <v>0</v>
      </c>
      <c r="I30" s="31">
        <f>2967159.77+2300+165564.65+1607.35</f>
        <v>3136631.77</v>
      </c>
      <c r="J30" s="31">
        <f>12200</f>
        <v>12200</v>
      </c>
      <c r="K30" s="31">
        <v>0</v>
      </c>
      <c r="L30" s="31">
        <f t="shared" si="1"/>
        <v>25.673163816173588</v>
      </c>
      <c r="M30" s="26">
        <f t="shared" si="2"/>
        <v>0</v>
      </c>
    </row>
    <row r="31" spans="1:13" ht="12.75">
      <c r="A31" s="22" t="s">
        <v>48</v>
      </c>
      <c r="B31" s="22"/>
      <c r="C31" s="23" t="s">
        <v>49</v>
      </c>
      <c r="D31" s="24">
        <v>543350</v>
      </c>
      <c r="E31" s="25">
        <f aca="true" t="shared" si="9" ref="E31:K31">SUM(E32:E37)</f>
        <v>1343400</v>
      </c>
      <c r="F31" s="25">
        <f t="shared" si="9"/>
        <v>1292186</v>
      </c>
      <c r="G31" s="25">
        <f t="shared" si="9"/>
        <v>106810.09</v>
      </c>
      <c r="H31" s="25">
        <f t="shared" si="9"/>
        <v>0</v>
      </c>
      <c r="I31" s="25">
        <f t="shared" si="9"/>
        <v>22959.100000000002</v>
      </c>
      <c r="J31" s="25">
        <f t="shared" si="9"/>
        <v>83850.99</v>
      </c>
      <c r="K31" s="25">
        <f t="shared" si="9"/>
        <v>0</v>
      </c>
      <c r="L31" s="25">
        <f t="shared" si="1"/>
        <v>8.265844855152432</v>
      </c>
      <c r="M31" s="26">
        <f t="shared" si="2"/>
        <v>0</v>
      </c>
    </row>
    <row r="32" spans="1:13" s="1" customFormat="1" ht="14.25" customHeight="1">
      <c r="A32" s="27"/>
      <c r="B32" s="27">
        <v>71002</v>
      </c>
      <c r="C32" s="29" t="s">
        <v>50</v>
      </c>
      <c r="D32" s="30">
        <v>67500</v>
      </c>
      <c r="E32" s="31">
        <v>40000</v>
      </c>
      <c r="F32" s="31">
        <v>80000</v>
      </c>
      <c r="G32" s="31">
        <f t="shared" si="4"/>
        <v>1568.05</v>
      </c>
      <c r="H32" s="31">
        <v>0</v>
      </c>
      <c r="I32" s="31">
        <v>1568.05</v>
      </c>
      <c r="J32" s="31">
        <v>0</v>
      </c>
      <c r="K32" s="31">
        <v>0</v>
      </c>
      <c r="L32" s="31">
        <f t="shared" si="1"/>
        <v>1.9600625</v>
      </c>
      <c r="M32" s="26">
        <f t="shared" si="2"/>
        <v>0</v>
      </c>
    </row>
    <row r="33" spans="1:13" s="1" customFormat="1" ht="14.25" customHeight="1">
      <c r="A33" s="27"/>
      <c r="B33" s="27">
        <v>71004</v>
      </c>
      <c r="C33" s="29" t="s">
        <v>51</v>
      </c>
      <c r="D33" s="30">
        <v>248000</v>
      </c>
      <c r="E33" s="31">
        <v>1102000</v>
      </c>
      <c r="F33" s="31">
        <v>958000</v>
      </c>
      <c r="G33" s="31">
        <f t="shared" si="4"/>
        <v>83850.99</v>
      </c>
      <c r="H33" s="31">
        <v>0</v>
      </c>
      <c r="I33" s="31">
        <v>0</v>
      </c>
      <c r="J33" s="31">
        <v>83850.99</v>
      </c>
      <c r="K33" s="31">
        <v>0</v>
      </c>
      <c r="L33" s="31">
        <f t="shared" si="1"/>
        <v>8.752712943632568</v>
      </c>
      <c r="M33" s="26">
        <f t="shared" si="2"/>
        <v>0</v>
      </c>
    </row>
    <row r="34" spans="1:13" s="1" customFormat="1" ht="16.5" customHeight="1">
      <c r="A34" s="27"/>
      <c r="B34" s="27">
        <v>71014</v>
      </c>
      <c r="C34" s="29" t="s">
        <v>52</v>
      </c>
      <c r="D34" s="30">
        <v>155000</v>
      </c>
      <c r="E34" s="31">
        <v>145000</v>
      </c>
      <c r="F34" s="31">
        <f>146071-1071</f>
        <v>145000</v>
      </c>
      <c r="G34" s="31">
        <f t="shared" si="4"/>
        <v>13678.9</v>
      </c>
      <c r="H34" s="31">
        <v>0</v>
      </c>
      <c r="I34" s="31">
        <f>14179.1-500.2</f>
        <v>13678.9</v>
      </c>
      <c r="J34" s="31">
        <v>0</v>
      </c>
      <c r="K34" s="31">
        <v>0</v>
      </c>
      <c r="L34" s="31">
        <f t="shared" si="1"/>
        <v>9.433724137931035</v>
      </c>
      <c r="M34" s="26">
        <f t="shared" si="2"/>
        <v>0</v>
      </c>
    </row>
    <row r="35" spans="1:13" s="1" customFormat="1" ht="15" customHeight="1">
      <c r="A35" s="27"/>
      <c r="B35" s="27">
        <v>71015</v>
      </c>
      <c r="C35" s="29" t="s">
        <v>53</v>
      </c>
      <c r="D35" s="30">
        <v>50850</v>
      </c>
      <c r="E35" s="31">
        <v>29400</v>
      </c>
      <c r="F35" s="31">
        <f>264376-202190</f>
        <v>62186</v>
      </c>
      <c r="G35" s="31">
        <f t="shared" si="4"/>
        <v>2930.8600000000015</v>
      </c>
      <c r="H35" s="31">
        <f>35149.61+27371.52+11932.79+11223.78+1511.76-35149.61-27371.52-11932.79-11223.78-1511.76</f>
        <v>0</v>
      </c>
      <c r="I35" s="31">
        <f>1128.49+3296.99+2974.51+2233.8+3000-1128.49-1419.09-2777.47-1377.88-3000</f>
        <v>2930.8600000000015</v>
      </c>
      <c r="J35" s="31">
        <v>0</v>
      </c>
      <c r="K35" s="31">
        <v>0</v>
      </c>
      <c r="L35" s="31">
        <f t="shared" si="1"/>
        <v>4.7130543852314055</v>
      </c>
      <c r="M35" s="26">
        <f t="shared" si="2"/>
        <v>0</v>
      </c>
    </row>
    <row r="36" spans="1:13" s="1" customFormat="1" ht="14.25" customHeight="1">
      <c r="A36" s="27"/>
      <c r="B36" s="27">
        <v>71035</v>
      </c>
      <c r="C36" s="29" t="s">
        <v>54</v>
      </c>
      <c r="D36" s="30">
        <v>12000</v>
      </c>
      <c r="E36" s="31">
        <v>12000</v>
      </c>
      <c r="F36" s="31">
        <v>12000</v>
      </c>
      <c r="G36" s="31">
        <f t="shared" si="4"/>
        <v>3000.12</v>
      </c>
      <c r="H36" s="31">
        <v>0</v>
      </c>
      <c r="I36" s="31">
        <v>3000.12</v>
      </c>
      <c r="J36" s="31">
        <v>0</v>
      </c>
      <c r="K36" s="31">
        <v>0</v>
      </c>
      <c r="L36" s="31">
        <f t="shared" si="1"/>
        <v>25.001</v>
      </c>
      <c r="M36" s="26">
        <f t="shared" si="2"/>
        <v>0</v>
      </c>
    </row>
    <row r="37" spans="1:13" s="1" customFormat="1" ht="14.25" customHeight="1">
      <c r="A37" s="27"/>
      <c r="B37" s="27">
        <v>71095</v>
      </c>
      <c r="C37" s="29" t="s">
        <v>23</v>
      </c>
      <c r="D37" s="30">
        <v>10000</v>
      </c>
      <c r="E37" s="31">
        <v>15000</v>
      </c>
      <c r="F37" s="31">
        <v>35000</v>
      </c>
      <c r="G37" s="31">
        <f t="shared" si="4"/>
        <v>1781.17</v>
      </c>
      <c r="H37" s="31">
        <v>0</v>
      </c>
      <c r="I37" s="31">
        <v>1781.17</v>
      </c>
      <c r="J37" s="31">
        <v>0</v>
      </c>
      <c r="K37" s="31">
        <v>0</v>
      </c>
      <c r="L37" s="31">
        <f t="shared" si="1"/>
        <v>5.0890571428571425</v>
      </c>
      <c r="M37" s="26">
        <f t="shared" si="2"/>
        <v>0</v>
      </c>
    </row>
    <row r="38" spans="1:13" ht="12.75">
      <c r="A38" s="22" t="s">
        <v>55</v>
      </c>
      <c r="B38" s="22"/>
      <c r="C38" s="23" t="s">
        <v>56</v>
      </c>
      <c r="D38" s="24">
        <v>13903032</v>
      </c>
      <c r="E38" s="25">
        <f aca="true" t="shared" si="10" ref="E38:K38">SUM(E39:E44)</f>
        <v>15919052</v>
      </c>
      <c r="F38" s="25">
        <f t="shared" si="10"/>
        <v>15102356</v>
      </c>
      <c r="G38" s="25">
        <f t="shared" si="10"/>
        <v>7559600.490000001</v>
      </c>
      <c r="H38" s="25">
        <f t="shared" si="10"/>
        <v>5122599.350000001</v>
      </c>
      <c r="I38" s="25">
        <f t="shared" si="10"/>
        <v>2407001.14</v>
      </c>
      <c r="J38" s="25">
        <f t="shared" si="10"/>
        <v>0</v>
      </c>
      <c r="K38" s="25">
        <f t="shared" si="10"/>
        <v>30000</v>
      </c>
      <c r="L38" s="25">
        <f t="shared" si="1"/>
        <v>50.05576937796991</v>
      </c>
      <c r="M38" s="26">
        <f t="shared" si="2"/>
        <v>4.656612873077393E-10</v>
      </c>
    </row>
    <row r="39" spans="1:13" s="1" customFormat="1" ht="15" customHeight="1">
      <c r="A39" s="27"/>
      <c r="B39" s="27">
        <v>75020</v>
      </c>
      <c r="C39" s="29" t="s">
        <v>57</v>
      </c>
      <c r="D39" s="30">
        <v>682000</v>
      </c>
      <c r="E39" s="31">
        <v>700000</v>
      </c>
      <c r="F39" s="31">
        <v>700000</v>
      </c>
      <c r="G39" s="31">
        <f t="shared" si="4"/>
        <v>369677.11</v>
      </c>
      <c r="H39" s="31">
        <v>0</v>
      </c>
      <c r="I39" s="31">
        <v>369677.11</v>
      </c>
      <c r="J39" s="31">
        <v>0</v>
      </c>
      <c r="K39" s="31">
        <v>0</v>
      </c>
      <c r="L39" s="31">
        <f t="shared" si="1"/>
        <v>52.811015714285716</v>
      </c>
      <c r="M39" s="26">
        <f t="shared" si="2"/>
        <v>0</v>
      </c>
    </row>
    <row r="40" spans="1:13" s="1" customFormat="1" ht="15" customHeight="1">
      <c r="A40" s="27"/>
      <c r="B40" s="27">
        <v>75022</v>
      </c>
      <c r="C40" s="29" t="s">
        <v>58</v>
      </c>
      <c r="D40" s="30">
        <v>736394</v>
      </c>
      <c r="E40" s="31">
        <v>506340</v>
      </c>
      <c r="F40" s="31">
        <v>508840</v>
      </c>
      <c r="G40" s="31">
        <f t="shared" si="4"/>
        <v>227054.1</v>
      </c>
      <c r="H40" s="31">
        <v>0</v>
      </c>
      <c r="I40" s="31">
        <v>227054.1</v>
      </c>
      <c r="J40" s="31">
        <v>0</v>
      </c>
      <c r="K40" s="31">
        <v>0</v>
      </c>
      <c r="L40" s="31">
        <f t="shared" si="1"/>
        <v>44.62190472447135</v>
      </c>
      <c r="M40" s="26">
        <f t="shared" si="2"/>
        <v>0</v>
      </c>
    </row>
    <row r="41" spans="1:13" s="1" customFormat="1" ht="15.75" customHeight="1">
      <c r="A41" s="27"/>
      <c r="B41" s="27">
        <v>75023</v>
      </c>
      <c r="C41" s="29" t="s">
        <v>59</v>
      </c>
      <c r="D41" s="30">
        <v>12113108</v>
      </c>
      <c r="E41" s="31">
        <v>12512462</v>
      </c>
      <c r="F41" s="31">
        <v>12688766</v>
      </c>
      <c r="G41" s="31">
        <f t="shared" si="4"/>
        <v>6513517.760000001</v>
      </c>
      <c r="H41" s="31">
        <f>3686807.87+584478.02+728380.45+93510.21+24474</f>
        <v>5117650.550000001</v>
      </c>
      <c r="I41" s="31">
        <f>48189+39866.4+213777.82+185691.7+56547.09+1649+644036.64+61016.44+16633.75+18552.93+100000+9820.12+86.32</f>
        <v>1395867.21</v>
      </c>
      <c r="J41" s="31">
        <v>0</v>
      </c>
      <c r="K41" s="31">
        <v>0</v>
      </c>
      <c r="L41" s="31">
        <f t="shared" si="1"/>
        <v>51.332948846247156</v>
      </c>
      <c r="M41" s="26">
        <f t="shared" si="2"/>
        <v>0</v>
      </c>
    </row>
    <row r="42" spans="1:13" s="1" customFormat="1" ht="12.75">
      <c r="A42" s="27"/>
      <c r="B42" s="27">
        <v>75045</v>
      </c>
      <c r="C42" s="29" t="s">
        <v>60</v>
      </c>
      <c r="D42" s="30"/>
      <c r="E42" s="31">
        <v>0</v>
      </c>
      <c r="F42" s="31">
        <f>30500-27000</f>
        <v>3500</v>
      </c>
      <c r="G42" s="31">
        <f t="shared" si="4"/>
        <v>3489.2000000000016</v>
      </c>
      <c r="H42" s="31">
        <f>661.46+99.66+7151-661.46-99.66-7151</f>
        <v>0</v>
      </c>
      <c r="I42" s="31">
        <f>9650+5058.68+3027.38-9650-1569.48-3027.38</f>
        <v>3489.2000000000016</v>
      </c>
      <c r="J42" s="31">
        <v>0</v>
      </c>
      <c r="K42" s="31">
        <v>0</v>
      </c>
      <c r="L42" s="31">
        <f t="shared" si="1"/>
        <v>99.69142857142862</v>
      </c>
      <c r="M42" s="26">
        <f t="shared" si="2"/>
        <v>0</v>
      </c>
    </row>
    <row r="43" spans="1:13" s="1" customFormat="1" ht="12.75">
      <c r="A43" s="27"/>
      <c r="B43" s="27">
        <v>75075</v>
      </c>
      <c r="C43" s="29" t="s">
        <v>61</v>
      </c>
      <c r="D43" s="30"/>
      <c r="E43" s="31">
        <v>2200000</v>
      </c>
      <c r="F43" s="31">
        <v>1200500</v>
      </c>
      <c r="G43" s="31">
        <f t="shared" si="4"/>
        <v>445362.31999999995</v>
      </c>
      <c r="H43" s="31">
        <f>516.3+73.5+4359</f>
        <v>4948.8</v>
      </c>
      <c r="I43" s="31">
        <f>19987.3+390426.22</f>
        <v>410413.51999999996</v>
      </c>
      <c r="J43" s="31">
        <v>0</v>
      </c>
      <c r="K43" s="31">
        <v>30000</v>
      </c>
      <c r="L43" s="31">
        <f t="shared" si="1"/>
        <v>37.09806913785922</v>
      </c>
      <c r="M43" s="26">
        <f t="shared" si="2"/>
        <v>0</v>
      </c>
    </row>
    <row r="44" spans="1:13" s="1" customFormat="1" ht="14.25" customHeight="1">
      <c r="A44" s="27"/>
      <c r="B44" s="27">
        <v>75095</v>
      </c>
      <c r="C44" s="29" t="s">
        <v>62</v>
      </c>
      <c r="D44" s="30">
        <v>371530</v>
      </c>
      <c r="E44" s="31">
        <v>250</v>
      </c>
      <c r="F44" s="31">
        <v>750</v>
      </c>
      <c r="G44" s="31">
        <f t="shared" si="4"/>
        <v>500</v>
      </c>
      <c r="H44" s="31">
        <v>0</v>
      </c>
      <c r="I44" s="31">
        <v>500</v>
      </c>
      <c r="J44" s="31">
        <v>0</v>
      </c>
      <c r="K44" s="31">
        <v>0</v>
      </c>
      <c r="L44" s="31">
        <f t="shared" si="1"/>
        <v>66.66666666666667</v>
      </c>
      <c r="M44" s="26">
        <f t="shared" si="2"/>
        <v>0</v>
      </c>
    </row>
    <row r="45" spans="1:13" ht="12.75">
      <c r="A45" s="22" t="s">
        <v>63</v>
      </c>
      <c r="B45" s="22"/>
      <c r="C45" s="23" t="s">
        <v>64</v>
      </c>
      <c r="D45" s="24">
        <v>1640026</v>
      </c>
      <c r="E45" s="25">
        <f>SUM(E46:E50)</f>
        <v>4082408</v>
      </c>
      <c r="F45" s="25">
        <f aca="true" t="shared" si="11" ref="F45:K45">SUM(F46:F50)</f>
        <v>4167708</v>
      </c>
      <c r="G45" s="25">
        <f t="shared" si="11"/>
        <v>1617037.99</v>
      </c>
      <c r="H45" s="25">
        <f t="shared" si="11"/>
        <v>633004.55</v>
      </c>
      <c r="I45" s="25">
        <f t="shared" si="11"/>
        <v>271891.46</v>
      </c>
      <c r="J45" s="25">
        <f t="shared" si="11"/>
        <v>667141.98</v>
      </c>
      <c r="K45" s="25">
        <f t="shared" si="11"/>
        <v>45000</v>
      </c>
      <c r="L45" s="25">
        <f t="shared" si="1"/>
        <v>38.79921506017216</v>
      </c>
      <c r="M45" s="26">
        <f t="shared" si="2"/>
        <v>0</v>
      </c>
    </row>
    <row r="46" spans="1:13" s="1" customFormat="1" ht="14.25" customHeight="1">
      <c r="A46" s="27"/>
      <c r="B46" s="27">
        <v>75405</v>
      </c>
      <c r="C46" s="29" t="s">
        <v>65</v>
      </c>
      <c r="D46" s="30">
        <v>162790</v>
      </c>
      <c r="E46" s="31">
        <v>898450</v>
      </c>
      <c r="F46" s="31">
        <v>1431050</v>
      </c>
      <c r="G46" s="31">
        <f t="shared" si="4"/>
        <v>573404</v>
      </c>
      <c r="H46" s="31">
        <f>71400+413+9924+350</f>
        <v>82087</v>
      </c>
      <c r="I46" s="31">
        <f>2735+9710+2000+170+890+1150+2290+652+120+350+70+40</f>
        <v>20177</v>
      </c>
      <c r="J46" s="31">
        <v>456140</v>
      </c>
      <c r="K46" s="31">
        <v>15000</v>
      </c>
      <c r="L46" s="31">
        <f t="shared" si="1"/>
        <v>40.06876070018518</v>
      </c>
      <c r="M46" s="26">
        <f t="shared" si="2"/>
        <v>0</v>
      </c>
    </row>
    <row r="47" spans="1:13" s="1" customFormat="1" ht="14.25" customHeight="1">
      <c r="A47" s="27"/>
      <c r="B47" s="27">
        <v>75411</v>
      </c>
      <c r="C47" s="29" t="s">
        <v>66</v>
      </c>
      <c r="D47" s="30">
        <v>114000</v>
      </c>
      <c r="E47" s="31">
        <v>836600</v>
      </c>
      <c r="F47" s="31">
        <f>3747600-2864000</f>
        <v>883600</v>
      </c>
      <c r="G47" s="31">
        <f>SUM(H47:K47)</f>
        <v>196571.79000000007</v>
      </c>
      <c r="H47" s="31">
        <f>49490.8+10278.48+1617.72+908885.33+70716.14+144731.96+3468.75+43186.1+3696.7+660-10278.48-1617.72-908885.33-70716.14-144731.96-3468.75-31261.77-2484.17-660</f>
        <v>62627.66000000006</v>
      </c>
      <c r="I47" s="31">
        <f>940.56+95923.64+123201.82+86261.91+3499.98+42657.45+6305.14+2374+21018.81+7355.24+746+3439+68.55-95923.64-123201.82-54450.35-33626.6-6305.14-2374-17074.81-5503.24-746-573-68.55</f>
        <v>53944.950000000004</v>
      </c>
      <c r="J47" s="31">
        <v>79999.18</v>
      </c>
      <c r="K47" s="31">
        <v>0</v>
      </c>
      <c r="L47" s="31">
        <f t="shared" si="1"/>
        <v>22.246694205522868</v>
      </c>
      <c r="M47" s="26">
        <f t="shared" si="2"/>
        <v>0</v>
      </c>
    </row>
    <row r="48" spans="1:13" s="1" customFormat="1" ht="14.25" customHeight="1">
      <c r="A48" s="27"/>
      <c r="B48" s="27">
        <v>75412</v>
      </c>
      <c r="C48" s="29" t="s">
        <v>67</v>
      </c>
      <c r="D48" s="30">
        <v>150404</v>
      </c>
      <c r="E48" s="31">
        <v>129000</v>
      </c>
      <c r="F48" s="31">
        <v>410500</v>
      </c>
      <c r="G48" s="31">
        <f t="shared" si="4"/>
        <v>103382.93</v>
      </c>
      <c r="H48" s="31">
        <f>6300</f>
        <v>6300</v>
      </c>
      <c r="I48" s="31">
        <f>19392+14784.19+3519.06+6400+3799.68+7305.2</f>
        <v>55200.13</v>
      </c>
      <c r="J48" s="31">
        <v>11882.8</v>
      </c>
      <c r="K48" s="31">
        <v>30000</v>
      </c>
      <c r="L48" s="31">
        <f t="shared" si="1"/>
        <v>25.18463580998782</v>
      </c>
      <c r="M48" s="26">
        <f t="shared" si="2"/>
        <v>0</v>
      </c>
    </row>
    <row r="49" spans="1:13" s="1" customFormat="1" ht="14.25" customHeight="1">
      <c r="A49" s="27"/>
      <c r="B49" s="27">
        <v>75414</v>
      </c>
      <c r="C49" s="29" t="s">
        <v>68</v>
      </c>
      <c r="D49" s="30">
        <v>61470</v>
      </c>
      <c r="E49" s="31">
        <v>131000</v>
      </c>
      <c r="F49" s="31">
        <f>217614-32414</f>
        <v>185200</v>
      </c>
      <c r="G49" s="31">
        <f t="shared" si="4"/>
        <v>49482.21</v>
      </c>
      <c r="H49" s="31">
        <f>25422+3800+751.14-29973.14</f>
        <v>0</v>
      </c>
      <c r="I49" s="31">
        <f>25680.92+622.89+23042.4+136</f>
        <v>49482.21</v>
      </c>
      <c r="J49" s="31">
        <v>0</v>
      </c>
      <c r="K49" s="31">
        <v>0</v>
      </c>
      <c r="L49" s="31">
        <f t="shared" si="1"/>
        <v>26.718255939524838</v>
      </c>
      <c r="M49" s="26">
        <f t="shared" si="2"/>
        <v>0</v>
      </c>
    </row>
    <row r="50" spans="1:13" s="1" customFormat="1" ht="14.25" customHeight="1">
      <c r="A50" s="27"/>
      <c r="B50" s="27">
        <v>75416</v>
      </c>
      <c r="C50" s="29" t="s">
        <v>69</v>
      </c>
      <c r="D50" s="30">
        <v>1151362</v>
      </c>
      <c r="E50" s="31">
        <v>2087358</v>
      </c>
      <c r="F50" s="31">
        <v>1257358</v>
      </c>
      <c r="G50" s="31">
        <f t="shared" si="4"/>
        <v>694197.0599999999</v>
      </c>
      <c r="H50" s="31">
        <f>348759.22+57743.72+66524.33+8962.62</f>
        <v>481989.88999999996</v>
      </c>
      <c r="I50" s="31">
        <f>35997.43+24378.41+7302.03+2854.76+13763.22+5598.74+3192.58</f>
        <v>93087.17</v>
      </c>
      <c r="J50" s="31">
        <v>119120</v>
      </c>
      <c r="K50" s="31">
        <v>0</v>
      </c>
      <c r="L50" s="31">
        <f t="shared" si="1"/>
        <v>55.21077211104554</v>
      </c>
      <c r="M50" s="26">
        <f t="shared" si="2"/>
        <v>0</v>
      </c>
    </row>
    <row r="51" spans="1:13" s="35" customFormat="1" ht="54" customHeight="1">
      <c r="A51" s="33">
        <v>756</v>
      </c>
      <c r="B51" s="33"/>
      <c r="C51" s="34" t="s">
        <v>70</v>
      </c>
      <c r="D51" s="24">
        <v>50000</v>
      </c>
      <c r="E51" s="25">
        <f>SUM(E52)</f>
        <v>62000</v>
      </c>
      <c r="F51" s="25">
        <f aca="true" t="shared" si="12" ref="F51:K51">SUM(F52)</f>
        <v>62000</v>
      </c>
      <c r="G51" s="25">
        <f t="shared" si="12"/>
        <v>18269.34</v>
      </c>
      <c r="H51" s="25">
        <f t="shared" si="12"/>
        <v>0</v>
      </c>
      <c r="I51" s="25">
        <f t="shared" si="12"/>
        <v>18269.34</v>
      </c>
      <c r="J51" s="25">
        <f t="shared" si="12"/>
        <v>0</v>
      </c>
      <c r="K51" s="25">
        <f t="shared" si="12"/>
        <v>0</v>
      </c>
      <c r="L51" s="25">
        <f t="shared" si="1"/>
        <v>29.466677419354838</v>
      </c>
      <c r="M51" s="26">
        <f t="shared" si="2"/>
        <v>0</v>
      </c>
    </row>
    <row r="52" spans="1:13" s="1" customFormat="1" ht="12.75">
      <c r="A52" s="27"/>
      <c r="B52" s="27">
        <v>75647</v>
      </c>
      <c r="C52" s="29" t="s">
        <v>71</v>
      </c>
      <c r="D52" s="30">
        <v>50000</v>
      </c>
      <c r="E52" s="31">
        <v>62000</v>
      </c>
      <c r="F52" s="31">
        <v>62000</v>
      </c>
      <c r="G52" s="31">
        <f t="shared" si="4"/>
        <v>18269.34</v>
      </c>
      <c r="H52" s="31">
        <v>0</v>
      </c>
      <c r="I52" s="31">
        <v>18269.34</v>
      </c>
      <c r="J52" s="31">
        <v>0</v>
      </c>
      <c r="K52" s="31">
        <v>0</v>
      </c>
      <c r="L52" s="31">
        <f t="shared" si="1"/>
        <v>29.466677419354838</v>
      </c>
      <c r="M52" s="26">
        <f t="shared" si="2"/>
        <v>0</v>
      </c>
    </row>
    <row r="53" spans="1:13" ht="12.75">
      <c r="A53" s="36">
        <v>757</v>
      </c>
      <c r="B53" s="36"/>
      <c r="C53" s="23" t="s">
        <v>72</v>
      </c>
      <c r="D53" s="24">
        <v>1550000</v>
      </c>
      <c r="E53" s="25">
        <f>SUM(E54:E55)</f>
        <v>2920000</v>
      </c>
      <c r="F53" s="25">
        <f aca="true" t="shared" si="13" ref="F53:K53">SUM(F54:F55)</f>
        <v>3800000</v>
      </c>
      <c r="G53" s="25">
        <f t="shared" si="13"/>
        <v>1156657.25</v>
      </c>
      <c r="H53" s="25">
        <f t="shared" si="13"/>
        <v>0</v>
      </c>
      <c r="I53" s="25">
        <f t="shared" si="13"/>
        <v>1156657.25</v>
      </c>
      <c r="J53" s="25">
        <f t="shared" si="13"/>
        <v>0</v>
      </c>
      <c r="K53" s="25">
        <f t="shared" si="13"/>
        <v>0</v>
      </c>
      <c r="L53" s="25">
        <f t="shared" si="1"/>
        <v>30.438348684210528</v>
      </c>
      <c r="M53" s="26">
        <f t="shared" si="2"/>
        <v>0</v>
      </c>
    </row>
    <row r="54" spans="1:13" s="1" customFormat="1" ht="12.75">
      <c r="A54" s="27"/>
      <c r="B54" s="27">
        <v>75702</v>
      </c>
      <c r="C54" s="29" t="s">
        <v>73</v>
      </c>
      <c r="D54" s="30">
        <v>1550000</v>
      </c>
      <c r="E54" s="31">
        <v>2900000</v>
      </c>
      <c r="F54" s="31">
        <v>2900000</v>
      </c>
      <c r="G54" s="31">
        <f t="shared" si="4"/>
        <v>1156657.25</v>
      </c>
      <c r="H54" s="31">
        <v>0</v>
      </c>
      <c r="I54" s="31">
        <v>1156657.25</v>
      </c>
      <c r="J54" s="31">
        <v>0</v>
      </c>
      <c r="K54" s="31">
        <v>0</v>
      </c>
      <c r="L54" s="31">
        <f t="shared" si="1"/>
        <v>39.88473275862069</v>
      </c>
      <c r="M54" s="26">
        <f t="shared" si="2"/>
        <v>0</v>
      </c>
    </row>
    <row r="55" spans="1:13" s="1" customFormat="1" ht="40.5" customHeight="1">
      <c r="A55" s="27"/>
      <c r="B55" s="27">
        <v>75704</v>
      </c>
      <c r="C55" s="29" t="s">
        <v>74</v>
      </c>
      <c r="D55" s="30"/>
      <c r="E55" s="31">
        <v>20000</v>
      </c>
      <c r="F55" s="31">
        <v>900000</v>
      </c>
      <c r="G55" s="31">
        <f t="shared" si="4"/>
        <v>0</v>
      </c>
      <c r="H55" s="31">
        <v>0</v>
      </c>
      <c r="I55" s="31">
        <v>0</v>
      </c>
      <c r="J55" s="31">
        <v>0</v>
      </c>
      <c r="K55" s="31">
        <v>0</v>
      </c>
      <c r="L55" s="31">
        <f t="shared" si="1"/>
        <v>0</v>
      </c>
      <c r="M55" s="26">
        <f t="shared" si="2"/>
        <v>0</v>
      </c>
    </row>
    <row r="56" spans="1:13" ht="12.75">
      <c r="A56" s="36">
        <v>758</v>
      </c>
      <c r="B56" s="37"/>
      <c r="C56" s="23" t="s">
        <v>75</v>
      </c>
      <c r="D56" s="24">
        <v>905402</v>
      </c>
      <c r="E56" s="25">
        <f>SUM(E57:E58)</f>
        <v>2385878</v>
      </c>
      <c r="F56" s="25">
        <f aca="true" t="shared" si="14" ref="F56:K56">SUM(F57:F58)</f>
        <v>2454178</v>
      </c>
      <c r="G56" s="25">
        <f t="shared" si="14"/>
        <v>842727.24</v>
      </c>
      <c r="H56" s="25">
        <f t="shared" si="14"/>
        <v>0</v>
      </c>
      <c r="I56" s="25">
        <f t="shared" si="14"/>
        <v>842727.24</v>
      </c>
      <c r="J56" s="25">
        <f t="shared" si="14"/>
        <v>0</v>
      </c>
      <c r="K56" s="25">
        <f t="shared" si="14"/>
        <v>0</v>
      </c>
      <c r="L56" s="25">
        <f t="shared" si="1"/>
        <v>34.338472596527225</v>
      </c>
      <c r="M56" s="26">
        <f t="shared" si="2"/>
        <v>0</v>
      </c>
    </row>
    <row r="57" spans="1:13" s="1" customFormat="1" ht="14.25" customHeight="1">
      <c r="A57" s="27"/>
      <c r="B57" s="27">
        <v>75814</v>
      </c>
      <c r="C57" s="29" t="s">
        <v>76</v>
      </c>
      <c r="D57" s="30">
        <v>664902</v>
      </c>
      <c r="E57" s="31">
        <v>1685878</v>
      </c>
      <c r="F57" s="31">
        <v>1685878</v>
      </c>
      <c r="G57" s="31">
        <f t="shared" si="4"/>
        <v>842727.24</v>
      </c>
      <c r="H57" s="31">
        <v>0</v>
      </c>
      <c r="I57" s="31">
        <v>842727.24</v>
      </c>
      <c r="J57" s="31">
        <v>0</v>
      </c>
      <c r="K57" s="31">
        <v>0</v>
      </c>
      <c r="L57" s="31">
        <f t="shared" si="1"/>
        <v>49.98743918599092</v>
      </c>
      <c r="M57" s="26">
        <f t="shared" si="2"/>
        <v>0</v>
      </c>
    </row>
    <row r="58" spans="1:13" s="1" customFormat="1" ht="15" customHeight="1">
      <c r="A58" s="27"/>
      <c r="B58" s="27">
        <v>75818</v>
      </c>
      <c r="C58" s="29" t="s">
        <v>77</v>
      </c>
      <c r="D58" s="30">
        <v>240500</v>
      </c>
      <c r="E58" s="31">
        <v>700000</v>
      </c>
      <c r="F58" s="31">
        <v>768300</v>
      </c>
      <c r="G58" s="31">
        <f t="shared" si="4"/>
        <v>0</v>
      </c>
      <c r="H58" s="31">
        <v>0</v>
      </c>
      <c r="I58" s="31">
        <v>0</v>
      </c>
      <c r="J58" s="31">
        <v>0</v>
      </c>
      <c r="K58" s="31">
        <v>0</v>
      </c>
      <c r="L58" s="31">
        <f t="shared" si="1"/>
        <v>0</v>
      </c>
      <c r="M58" s="26">
        <f t="shared" si="2"/>
        <v>0</v>
      </c>
    </row>
    <row r="59" spans="1:13" ht="12.75">
      <c r="A59" s="22" t="s">
        <v>78</v>
      </c>
      <c r="B59" s="22"/>
      <c r="C59" s="23" t="s">
        <v>79</v>
      </c>
      <c r="D59" s="24">
        <v>62307466</v>
      </c>
      <c r="E59" s="25">
        <f>SUM(E60:E75)</f>
        <v>69685612</v>
      </c>
      <c r="F59" s="25">
        <f aca="true" t="shared" si="15" ref="F59:K59">SUM(F60:F75)</f>
        <v>75576614</v>
      </c>
      <c r="G59" s="25">
        <f t="shared" si="15"/>
        <v>36076692.12</v>
      </c>
      <c r="H59" s="25">
        <f t="shared" si="15"/>
        <v>27693036.150000002</v>
      </c>
      <c r="I59" s="25">
        <f t="shared" si="15"/>
        <v>6101330.61</v>
      </c>
      <c r="J59" s="25">
        <f t="shared" si="15"/>
        <v>2241315.32</v>
      </c>
      <c r="K59" s="25">
        <f t="shared" si="15"/>
        <v>41010.04</v>
      </c>
      <c r="L59" s="25">
        <f t="shared" si="1"/>
        <v>47.73525858144425</v>
      </c>
      <c r="M59" s="26">
        <f t="shared" si="2"/>
        <v>-5.085894372314215E-09</v>
      </c>
    </row>
    <row r="60" spans="1:13" s="1" customFormat="1" ht="14.25" customHeight="1">
      <c r="A60" s="27"/>
      <c r="B60" s="27">
        <v>80101</v>
      </c>
      <c r="C60" s="29" t="s">
        <v>80</v>
      </c>
      <c r="D60" s="30">
        <v>22273157</v>
      </c>
      <c r="E60" s="31">
        <v>27391263</v>
      </c>
      <c r="F60" s="31">
        <f>33976996-13409</f>
        <v>33963587</v>
      </c>
      <c r="G60" s="31">
        <f t="shared" si="4"/>
        <v>14159033.94</v>
      </c>
      <c r="H60" s="31">
        <f>7075881.68+1145251.5+1425369.07+195695.87+2199.63</f>
        <v>9844397.75</v>
      </c>
      <c r="I60" s="31">
        <f>9419.47+2700+179453.74+1770+16002.19+798848.98+80120.67+7823+270157+14652.39+1717.43+5736+684920</f>
        <v>2073320.8699999999</v>
      </c>
      <c r="J60" s="31">
        <v>2241315.32</v>
      </c>
      <c r="K60" s="31">
        <v>0</v>
      </c>
      <c r="L60" s="31">
        <f t="shared" si="1"/>
        <v>41.68886501888037</v>
      </c>
      <c r="M60" s="26">
        <f t="shared" si="2"/>
        <v>0</v>
      </c>
    </row>
    <row r="61" spans="1:13" s="1" customFormat="1" ht="12.75">
      <c r="A61" s="32"/>
      <c r="B61" s="32">
        <v>80102</v>
      </c>
      <c r="C61" s="29" t="s">
        <v>81</v>
      </c>
      <c r="D61" s="30">
        <v>1687910</v>
      </c>
      <c r="E61" s="31">
        <v>1807204</v>
      </c>
      <c r="F61" s="31">
        <v>1807793</v>
      </c>
      <c r="G61" s="31">
        <f t="shared" si="4"/>
        <v>936678.68</v>
      </c>
      <c r="H61" s="31">
        <f>570375.28+99414.87+123981.91+16338.41</f>
        <v>810110.4700000001</v>
      </c>
      <c r="I61" s="31">
        <f>350+8819.92+51661.62+8985.53+515+20054.13+154.01+403+35625</f>
        <v>126568.21</v>
      </c>
      <c r="J61" s="31">
        <v>0</v>
      </c>
      <c r="K61" s="31">
        <v>0</v>
      </c>
      <c r="L61" s="31">
        <f t="shared" si="1"/>
        <v>51.813381288676304</v>
      </c>
      <c r="M61" s="26">
        <f t="shared" si="2"/>
        <v>0</v>
      </c>
    </row>
    <row r="62" spans="1:13" s="1" customFormat="1" ht="12.75">
      <c r="A62" s="32"/>
      <c r="B62" s="32">
        <v>80103</v>
      </c>
      <c r="C62" s="29" t="s">
        <v>82</v>
      </c>
      <c r="D62" s="30"/>
      <c r="E62" s="31">
        <v>30430</v>
      </c>
      <c r="F62" s="31">
        <v>30430</v>
      </c>
      <c r="G62" s="31">
        <f t="shared" si="4"/>
        <v>15700.06</v>
      </c>
      <c r="H62" s="31">
        <f>11933.4+2035.64+249.02</f>
        <v>14218.06</v>
      </c>
      <c r="I62" s="31">
        <v>1482</v>
      </c>
      <c r="J62" s="31">
        <v>0</v>
      </c>
      <c r="K62" s="31">
        <v>0</v>
      </c>
      <c r="L62" s="31">
        <f t="shared" si="1"/>
        <v>51.594019060138024</v>
      </c>
      <c r="M62" s="26"/>
    </row>
    <row r="63" spans="1:13" s="1" customFormat="1" ht="12.75">
      <c r="A63" s="32"/>
      <c r="B63" s="32">
        <v>80104</v>
      </c>
      <c r="C63" s="29" t="s">
        <v>83</v>
      </c>
      <c r="D63" s="30">
        <v>9941807</v>
      </c>
      <c r="E63" s="31">
        <v>10621737</v>
      </c>
      <c r="F63" s="31">
        <v>10341002</v>
      </c>
      <c r="G63" s="31">
        <f t="shared" si="4"/>
        <v>5434908.57</v>
      </c>
      <c r="H63" s="31">
        <f>3232718.18+514974.6+644331.36+86412.32+2283.6</f>
        <v>4480720.0600000005</v>
      </c>
      <c r="I63" s="31">
        <f>21441.85+59521.21+4749.44+388663.15+43598.79+4788+96135.89+2750.18+223+1353+330964</f>
        <v>954188.51</v>
      </c>
      <c r="J63" s="31">
        <v>0</v>
      </c>
      <c r="K63" s="31">
        <v>0</v>
      </c>
      <c r="L63" s="31">
        <f t="shared" si="1"/>
        <v>52.5568853965989</v>
      </c>
      <c r="M63" s="26">
        <f t="shared" si="2"/>
        <v>0</v>
      </c>
    </row>
    <row r="64" spans="1:13" s="1" customFormat="1" ht="13.5" customHeight="1">
      <c r="A64" s="27"/>
      <c r="B64" s="27">
        <v>80110</v>
      </c>
      <c r="C64" s="29" t="s">
        <v>84</v>
      </c>
      <c r="D64" s="30">
        <v>13129460</v>
      </c>
      <c r="E64" s="31">
        <v>13698638</v>
      </c>
      <c r="F64" s="31">
        <v>13479654</v>
      </c>
      <c r="G64" s="31">
        <f t="shared" si="4"/>
        <v>7184552.009999999</v>
      </c>
      <c r="H64" s="31">
        <f>4234324.37+697707.8+879404.19+117719.67+1610.39</f>
        <v>5930766.419999999</v>
      </c>
      <c r="I64" s="31">
        <f>2600+62933.36+13107.53+556271.6+106019.87+3451+69621.9+5211.45+644.88+1490+432434</f>
        <v>1253785.5899999999</v>
      </c>
      <c r="J64" s="31">
        <v>0</v>
      </c>
      <c r="K64" s="31">
        <v>0</v>
      </c>
      <c r="L64" s="31">
        <f t="shared" si="1"/>
        <v>53.299231641999114</v>
      </c>
      <c r="M64" s="26">
        <f t="shared" si="2"/>
        <v>0</v>
      </c>
    </row>
    <row r="65" spans="1:13" s="1" customFormat="1" ht="12.75">
      <c r="A65" s="27"/>
      <c r="B65" s="32">
        <v>80111</v>
      </c>
      <c r="C65" s="29" t="s">
        <v>85</v>
      </c>
      <c r="D65" s="30">
        <v>789847</v>
      </c>
      <c r="E65" s="31">
        <v>843333</v>
      </c>
      <c r="F65" s="31">
        <v>866333</v>
      </c>
      <c r="G65" s="31">
        <f t="shared" si="4"/>
        <v>475732.08</v>
      </c>
      <c r="H65" s="31">
        <f>327818.74+46286.64+67176.65+8934.74+449.57</f>
        <v>450666.34</v>
      </c>
      <c r="I65" s="31">
        <f>300+2249+140+241.74+85+22050</f>
        <v>25065.739999999998</v>
      </c>
      <c r="J65" s="31">
        <v>0</v>
      </c>
      <c r="K65" s="31">
        <v>0</v>
      </c>
      <c r="L65" s="31">
        <f t="shared" si="1"/>
        <v>54.913304699232285</v>
      </c>
      <c r="M65" s="26">
        <f t="shared" si="2"/>
        <v>0</v>
      </c>
    </row>
    <row r="66" spans="1:13" s="1" customFormat="1" ht="12.75">
      <c r="A66" s="27"/>
      <c r="B66" s="32">
        <v>80113</v>
      </c>
      <c r="C66" s="29" t="s">
        <v>86</v>
      </c>
      <c r="D66" s="30">
        <v>226639</v>
      </c>
      <c r="E66" s="31">
        <v>302875</v>
      </c>
      <c r="F66" s="31">
        <v>302875</v>
      </c>
      <c r="G66" s="31">
        <f t="shared" si="4"/>
        <v>123796.49</v>
      </c>
      <c r="H66" s="31">
        <f>11244.41+3625.21+445.48+17792.73</f>
        <v>33107.83</v>
      </c>
      <c r="I66" s="31">
        <f>180+5900.33+84222.33+386</f>
        <v>90688.66</v>
      </c>
      <c r="J66" s="31">
        <v>0</v>
      </c>
      <c r="K66" s="31">
        <v>0</v>
      </c>
      <c r="L66" s="31">
        <f t="shared" si="1"/>
        <v>40.87378951712753</v>
      </c>
      <c r="M66" s="26">
        <f t="shared" si="2"/>
        <v>0</v>
      </c>
    </row>
    <row r="67" spans="1:13" s="1" customFormat="1" ht="13.5" customHeight="1">
      <c r="A67" s="27"/>
      <c r="B67" s="27">
        <v>80114</v>
      </c>
      <c r="C67" s="29" t="s">
        <v>87</v>
      </c>
      <c r="D67" s="30">
        <v>1077316</v>
      </c>
      <c r="E67" s="31">
        <v>1140004</v>
      </c>
      <c r="F67" s="31">
        <v>1160269</v>
      </c>
      <c r="G67" s="31">
        <f t="shared" si="4"/>
        <v>621094.46</v>
      </c>
      <c r="H67" s="31">
        <f>380395.29+61549.3+83577.85+10764.25+8259.04</f>
        <v>544545.73</v>
      </c>
      <c r="I67" s="31">
        <f>1930.16+15346.48+10198.08+1647.24+276+29784.79+745.58+47.4+810+15763</f>
        <v>76548.73000000001</v>
      </c>
      <c r="J67" s="31">
        <v>0</v>
      </c>
      <c r="K67" s="31">
        <v>0</v>
      </c>
      <c r="L67" s="31">
        <f t="shared" si="1"/>
        <v>53.53021239040257</v>
      </c>
      <c r="M67" s="26">
        <f t="shared" si="2"/>
        <v>0</v>
      </c>
    </row>
    <row r="68" spans="1:13" s="1" customFormat="1" ht="15" customHeight="1">
      <c r="A68" s="27"/>
      <c r="B68" s="27">
        <v>80120</v>
      </c>
      <c r="C68" s="29" t="s">
        <v>88</v>
      </c>
      <c r="D68" s="30">
        <v>4810517</v>
      </c>
      <c r="E68" s="31">
        <v>5221487</v>
      </c>
      <c r="F68" s="31">
        <v>5103760</v>
      </c>
      <c r="G68" s="31">
        <f t="shared" si="4"/>
        <v>2602975.7</v>
      </c>
      <c r="H68" s="31">
        <f>1546719.7+262261.2+324790.62+43391.41+958.3</f>
        <v>2178121.23</v>
      </c>
      <c r="I68" s="31">
        <f>13246.99+883.36+205102.48+12043.22+1100.5+13510.75+3505.68+237.49+794+157230</f>
        <v>407654.47</v>
      </c>
      <c r="J68" s="31">
        <v>0</v>
      </c>
      <c r="K68" s="31">
        <v>17200</v>
      </c>
      <c r="L68" s="31">
        <f t="shared" si="1"/>
        <v>51.00113837641269</v>
      </c>
      <c r="M68" s="26">
        <f t="shared" si="2"/>
        <v>2.3283064365386963E-10</v>
      </c>
    </row>
    <row r="69" spans="1:13" s="1" customFormat="1" ht="12.75" customHeight="1">
      <c r="A69" s="27"/>
      <c r="B69" s="27">
        <v>80123</v>
      </c>
      <c r="C69" s="29" t="s">
        <v>89</v>
      </c>
      <c r="D69" s="30">
        <v>1850615</v>
      </c>
      <c r="E69" s="31">
        <v>1858311</v>
      </c>
      <c r="F69" s="31">
        <v>1918242</v>
      </c>
      <c r="G69" s="31">
        <f t="shared" si="4"/>
        <v>942139.4099999999</v>
      </c>
      <c r="H69" s="31">
        <f>594736.66+110913.6+117690.47+16703.84+514.6</f>
        <v>840559.1699999999</v>
      </c>
      <c r="I69" s="31">
        <f>317.78+22468.66+411.53+5509.23+1747.14+721+14193.02+818.88+55393</f>
        <v>101580.23999999999</v>
      </c>
      <c r="J69" s="31">
        <v>0</v>
      </c>
      <c r="K69" s="31">
        <v>0</v>
      </c>
      <c r="L69" s="31">
        <f t="shared" si="1"/>
        <v>49.11473161363372</v>
      </c>
      <c r="M69" s="26">
        <f t="shared" si="2"/>
        <v>0</v>
      </c>
    </row>
    <row r="70" spans="1:13" s="1" customFormat="1" ht="14.25" customHeight="1">
      <c r="A70" s="27"/>
      <c r="B70" s="27">
        <v>80130</v>
      </c>
      <c r="C70" s="29" t="s">
        <v>90</v>
      </c>
      <c r="D70" s="30">
        <v>3374809</v>
      </c>
      <c r="E70" s="31">
        <v>3633165</v>
      </c>
      <c r="F70" s="31">
        <v>3360756</v>
      </c>
      <c r="G70" s="31">
        <f t="shared" si="4"/>
        <v>1873594.08</v>
      </c>
      <c r="H70" s="31">
        <f>1118846.48+167309.6+219438.01+29600.83+1221</f>
        <v>1536415.9200000002</v>
      </c>
      <c r="I70" s="31">
        <f>377.23+330.84+13806.71+9305+106913.12+16195.42+885+54519.52+1222.16+138.12+1626+108049</f>
        <v>313368.12</v>
      </c>
      <c r="J70" s="31">
        <v>0</v>
      </c>
      <c r="K70" s="31">
        <v>23810.04</v>
      </c>
      <c r="L70" s="31">
        <f t="shared" si="1"/>
        <v>55.74918500480249</v>
      </c>
      <c r="M70" s="26">
        <f t="shared" si="2"/>
        <v>0</v>
      </c>
    </row>
    <row r="71" spans="1:13" s="1" customFormat="1" ht="12.75">
      <c r="A71" s="27"/>
      <c r="B71" s="32">
        <v>80134</v>
      </c>
      <c r="C71" s="29" t="s">
        <v>91</v>
      </c>
      <c r="D71" s="30">
        <v>769916</v>
      </c>
      <c r="E71" s="31">
        <v>804043</v>
      </c>
      <c r="F71" s="31">
        <v>804857</v>
      </c>
      <c r="G71" s="31">
        <f t="shared" si="4"/>
        <v>405595.95999999996</v>
      </c>
      <c r="H71" s="31">
        <f>272497.13+47780.62+57288.98+8009.23</f>
        <v>385575.95999999996</v>
      </c>
      <c r="I71" s="31">
        <f>200+975+120+5000+13725</f>
        <v>20020</v>
      </c>
      <c r="J71" s="31">
        <v>0</v>
      </c>
      <c r="K71" s="31">
        <v>0</v>
      </c>
      <c r="L71" s="31">
        <f t="shared" si="1"/>
        <v>50.39354320084189</v>
      </c>
      <c r="M71" s="26">
        <f t="shared" si="2"/>
        <v>0</v>
      </c>
    </row>
    <row r="72" spans="1:13" s="1" customFormat="1" ht="28.5" customHeight="1">
      <c r="A72" s="27"/>
      <c r="B72" s="32">
        <v>80140</v>
      </c>
      <c r="C72" s="29" t="s">
        <v>92</v>
      </c>
      <c r="D72" s="30">
        <v>1556948</v>
      </c>
      <c r="E72" s="31">
        <v>1486635</v>
      </c>
      <c r="F72" s="31">
        <v>1490430</v>
      </c>
      <c r="G72" s="31">
        <f t="shared" si="4"/>
        <v>801235.76</v>
      </c>
      <c r="H72" s="31">
        <f>454449.11+71189.45+92168.94+12841.96</f>
        <v>630649.46</v>
      </c>
      <c r="I72" s="31">
        <f>3962.46+5106.67+937.62+98000+201.5+14736.34+438.45+178+2737+44919-630.74</f>
        <v>170586.3</v>
      </c>
      <c r="J72" s="31">
        <v>0</v>
      </c>
      <c r="K72" s="31">
        <v>0</v>
      </c>
      <c r="L72" s="31">
        <f t="shared" si="1"/>
        <v>53.75869782545977</v>
      </c>
      <c r="M72" s="26">
        <f t="shared" si="2"/>
        <v>0</v>
      </c>
    </row>
    <row r="73" spans="1:13" s="1" customFormat="1" ht="12.75">
      <c r="A73" s="27"/>
      <c r="B73" s="32">
        <v>80145</v>
      </c>
      <c r="C73" s="29" t="s">
        <v>93</v>
      </c>
      <c r="D73" s="30">
        <v>13500</v>
      </c>
      <c r="E73" s="31">
        <v>13500</v>
      </c>
      <c r="F73" s="31">
        <v>13500</v>
      </c>
      <c r="G73" s="31">
        <f t="shared" si="4"/>
        <v>420</v>
      </c>
      <c r="H73" s="31">
        <v>420</v>
      </c>
      <c r="I73" s="31">
        <v>0</v>
      </c>
      <c r="J73" s="31">
        <v>0</v>
      </c>
      <c r="K73" s="31">
        <v>0</v>
      </c>
      <c r="L73" s="31">
        <f t="shared" si="1"/>
        <v>3.111111111111111</v>
      </c>
      <c r="M73" s="26">
        <f t="shared" si="2"/>
        <v>0</v>
      </c>
    </row>
    <row r="74" spans="1:13" s="1" customFormat="1" ht="14.25" customHeight="1">
      <c r="A74" s="27"/>
      <c r="B74" s="32">
        <v>80146</v>
      </c>
      <c r="C74" s="29" t="s">
        <v>94</v>
      </c>
      <c r="D74" s="30">
        <v>318344</v>
      </c>
      <c r="E74" s="31">
        <v>382589</v>
      </c>
      <c r="F74" s="31">
        <v>372549</v>
      </c>
      <c r="G74" s="31">
        <f t="shared" si="4"/>
        <v>98974.11</v>
      </c>
      <c r="H74" s="31">
        <f>10944.26+1597.48+220.01</f>
        <v>12761.75</v>
      </c>
      <c r="I74" s="31">
        <f>1460.86+81151.5+3600</f>
        <v>86212.36</v>
      </c>
      <c r="J74" s="31">
        <v>0</v>
      </c>
      <c r="K74" s="31">
        <v>0</v>
      </c>
      <c r="L74" s="31">
        <f t="shared" si="1"/>
        <v>26.566736187722956</v>
      </c>
      <c r="M74" s="26">
        <f t="shared" si="2"/>
        <v>0</v>
      </c>
    </row>
    <row r="75" spans="1:13" s="1" customFormat="1" ht="12.75">
      <c r="A75" s="27"/>
      <c r="B75" s="32">
        <v>80195</v>
      </c>
      <c r="C75" s="29" t="s">
        <v>23</v>
      </c>
      <c r="D75" s="30">
        <v>486681</v>
      </c>
      <c r="E75" s="31">
        <f>487398-37000</f>
        <v>450398</v>
      </c>
      <c r="F75" s="31">
        <f>597577-37000</f>
        <v>560577</v>
      </c>
      <c r="G75" s="31">
        <f>SUM(H75:K75)</f>
        <v>400260.81</v>
      </c>
      <c r="H75" s="31">
        <v>0</v>
      </c>
      <c r="I75" s="31">
        <f>15070.58+6669.39+2000+1509.37+25587.71+7020.32+50731.24+923.2+290749</f>
        <v>400260.81</v>
      </c>
      <c r="J75" s="31">
        <v>0</v>
      </c>
      <c r="K75" s="31">
        <f>16077.75-16077.75</f>
        <v>0</v>
      </c>
      <c r="L75" s="31">
        <f t="shared" si="1"/>
        <v>71.40157551950936</v>
      </c>
      <c r="M75" s="26">
        <f t="shared" si="2"/>
        <v>0</v>
      </c>
    </row>
    <row r="76" spans="1:13" s="1" customFormat="1" ht="12.75">
      <c r="A76" s="33">
        <v>803</v>
      </c>
      <c r="B76" s="38"/>
      <c r="C76" s="34" t="s">
        <v>95</v>
      </c>
      <c r="D76" s="39"/>
      <c r="E76" s="25">
        <f>SUM(E77)</f>
        <v>0</v>
      </c>
      <c r="F76" s="25">
        <f aca="true" t="shared" si="16" ref="F76:K76">SUM(F77)</f>
        <v>16000</v>
      </c>
      <c r="G76" s="25">
        <f t="shared" si="16"/>
        <v>0</v>
      </c>
      <c r="H76" s="25">
        <f t="shared" si="16"/>
        <v>0</v>
      </c>
      <c r="I76" s="25">
        <f t="shared" si="16"/>
        <v>0</v>
      </c>
      <c r="J76" s="25">
        <f t="shared" si="16"/>
        <v>0</v>
      </c>
      <c r="K76" s="25">
        <f t="shared" si="16"/>
        <v>0</v>
      </c>
      <c r="L76" s="25">
        <f t="shared" si="1"/>
        <v>0</v>
      </c>
      <c r="M76" s="26"/>
    </row>
    <row r="77" spans="1:13" s="1" customFormat="1" ht="12.75">
      <c r="A77" s="27"/>
      <c r="B77" s="32">
        <v>80309</v>
      </c>
      <c r="C77" s="29" t="s">
        <v>96</v>
      </c>
      <c r="D77" s="30"/>
      <c r="E77" s="31">
        <v>0</v>
      </c>
      <c r="F77" s="31">
        <v>16000</v>
      </c>
      <c r="G77" s="31">
        <f>SUM(H77:K77)</f>
        <v>0</v>
      </c>
      <c r="H77" s="31">
        <v>0</v>
      </c>
      <c r="I77" s="31">
        <v>0</v>
      </c>
      <c r="J77" s="31">
        <v>0</v>
      </c>
      <c r="K77" s="31">
        <v>0</v>
      </c>
      <c r="L77" s="31">
        <f t="shared" si="1"/>
        <v>0</v>
      </c>
      <c r="M77" s="26"/>
    </row>
    <row r="78" spans="1:13" ht="12.75">
      <c r="A78" s="22" t="s">
        <v>97</v>
      </c>
      <c r="B78" s="22"/>
      <c r="C78" s="23" t="s">
        <v>98</v>
      </c>
      <c r="D78" s="24">
        <v>4916263</v>
      </c>
      <c r="E78" s="25">
        <f>SUM(E79:E86)</f>
        <v>11575957</v>
      </c>
      <c r="F78" s="25">
        <f aca="true" t="shared" si="17" ref="F78:K78">SUM(F79:F86)</f>
        <v>11703457</v>
      </c>
      <c r="G78" s="25">
        <f t="shared" si="17"/>
        <v>3567229.64</v>
      </c>
      <c r="H78" s="25">
        <f t="shared" si="17"/>
        <v>776417.68</v>
      </c>
      <c r="I78" s="25">
        <f t="shared" si="17"/>
        <v>2534650.3600000003</v>
      </c>
      <c r="J78" s="25">
        <f t="shared" si="17"/>
        <v>156621.6</v>
      </c>
      <c r="K78" s="25">
        <f t="shared" si="17"/>
        <v>99540</v>
      </c>
      <c r="L78" s="25">
        <f t="shared" si="1"/>
        <v>30.480136253758186</v>
      </c>
      <c r="M78" s="26">
        <f t="shared" si="2"/>
        <v>-3.7834979593753815E-10</v>
      </c>
    </row>
    <row r="79" spans="1:13" s="10" customFormat="1" ht="12.75">
      <c r="A79" s="40"/>
      <c r="B79" s="40">
        <v>85111</v>
      </c>
      <c r="C79" s="29" t="s">
        <v>99</v>
      </c>
      <c r="D79" s="30">
        <v>2499540</v>
      </c>
      <c r="E79" s="31">
        <v>8189300</v>
      </c>
      <c r="F79" s="31">
        <v>8219300</v>
      </c>
      <c r="G79" s="31">
        <f aca="true" t="shared" si="18" ref="G79:G132">SUM(H79:K79)</f>
        <v>1629480.37</v>
      </c>
      <c r="H79" s="31">
        <v>0</v>
      </c>
      <c r="I79" s="31">
        <v>1502480.37</v>
      </c>
      <c r="J79" s="31">
        <v>127000</v>
      </c>
      <c r="K79" s="31">
        <v>0</v>
      </c>
      <c r="L79" s="31">
        <f t="shared" si="1"/>
        <v>19.825050430085287</v>
      </c>
      <c r="M79" s="26">
        <f t="shared" si="2"/>
        <v>0</v>
      </c>
    </row>
    <row r="80" spans="1:13" s="1" customFormat="1" ht="12.75">
      <c r="A80" s="27"/>
      <c r="B80" s="27">
        <v>85117</v>
      </c>
      <c r="C80" s="29" t="s">
        <v>100</v>
      </c>
      <c r="D80" s="30">
        <v>691992</v>
      </c>
      <c r="E80" s="31">
        <v>1221035</v>
      </c>
      <c r="F80" s="31">
        <v>1221035</v>
      </c>
      <c r="G80" s="31">
        <f t="shared" si="18"/>
        <v>659000</v>
      </c>
      <c r="H80" s="31">
        <f>302622.42+48542.83+55525.13+7469.32+34402.26</f>
        <v>448561.96</v>
      </c>
      <c r="I80" s="31">
        <f>948+23299.91+11538.55+1024.19+62792.09+1793.4+5532.83+75509.07+3500+4500+20000</f>
        <v>210438.03999999998</v>
      </c>
      <c r="J80" s="31">
        <v>0</v>
      </c>
      <c r="K80" s="31">
        <v>0</v>
      </c>
      <c r="L80" s="31">
        <f aca="true" t="shared" si="19" ref="L80:L136">(G80*100)/F80</f>
        <v>53.970606903160025</v>
      </c>
      <c r="M80" s="26">
        <f aca="true" t="shared" si="20" ref="M80:M136">G80-H80-I80-J80-K80</f>
        <v>0</v>
      </c>
    </row>
    <row r="81" spans="1:13" s="1" customFormat="1" ht="13.5" customHeight="1">
      <c r="A81" s="27"/>
      <c r="B81" s="27">
        <v>85121</v>
      </c>
      <c r="C81" s="29" t="s">
        <v>101</v>
      </c>
      <c r="D81" s="30">
        <v>300000</v>
      </c>
      <c r="E81" s="31">
        <v>825000</v>
      </c>
      <c r="F81" s="31">
        <v>825000</v>
      </c>
      <c r="G81" s="31">
        <f t="shared" si="18"/>
        <v>666745.25</v>
      </c>
      <c r="H81" s="31">
        <v>0</v>
      </c>
      <c r="I81" s="31">
        <v>666745.25</v>
      </c>
      <c r="J81" s="31">
        <v>0</v>
      </c>
      <c r="K81" s="31">
        <v>0</v>
      </c>
      <c r="L81" s="31">
        <f t="shared" si="19"/>
        <v>80.81760606060607</v>
      </c>
      <c r="M81" s="26">
        <f t="shared" si="20"/>
        <v>0</v>
      </c>
    </row>
    <row r="82" spans="1:13" s="1" customFormat="1" ht="13.5" customHeight="1">
      <c r="A82" s="27"/>
      <c r="B82" s="27">
        <v>85141</v>
      </c>
      <c r="C82" s="29" t="s">
        <v>102</v>
      </c>
      <c r="D82" s="30"/>
      <c r="E82" s="31">
        <v>50000</v>
      </c>
      <c r="F82" s="31">
        <v>106500</v>
      </c>
      <c r="G82" s="31">
        <f t="shared" si="18"/>
        <v>0</v>
      </c>
      <c r="H82" s="31">
        <v>0</v>
      </c>
      <c r="I82" s="31">
        <v>0</v>
      </c>
      <c r="J82" s="31">
        <v>0</v>
      </c>
      <c r="K82" s="31">
        <v>0</v>
      </c>
      <c r="L82" s="31">
        <f t="shared" si="19"/>
        <v>0</v>
      </c>
      <c r="M82" s="26">
        <f t="shared" si="20"/>
        <v>0</v>
      </c>
    </row>
    <row r="83" spans="1:13" s="1" customFormat="1" ht="13.5" customHeight="1">
      <c r="A83" s="27"/>
      <c r="B83" s="27">
        <v>85153</v>
      </c>
      <c r="C83" s="29" t="s">
        <v>103</v>
      </c>
      <c r="D83" s="30"/>
      <c r="E83" s="31">
        <v>55000</v>
      </c>
      <c r="F83" s="31">
        <v>55000</v>
      </c>
      <c r="G83" s="31">
        <f t="shared" si="18"/>
        <v>11739.8</v>
      </c>
      <c r="H83" s="31">
        <v>3150</v>
      </c>
      <c r="I83" s="31">
        <f>2329.8+6260</f>
        <v>8589.8</v>
      </c>
      <c r="J83" s="31">
        <v>0</v>
      </c>
      <c r="K83" s="31">
        <v>0</v>
      </c>
      <c r="L83" s="31">
        <f t="shared" si="19"/>
        <v>21.34509090909091</v>
      </c>
      <c r="M83" s="26"/>
    </row>
    <row r="84" spans="1:13" s="1" customFormat="1" ht="15" customHeight="1">
      <c r="A84" s="27"/>
      <c r="B84" s="32">
        <v>85154</v>
      </c>
      <c r="C84" s="29" t="s">
        <v>104</v>
      </c>
      <c r="D84" s="30">
        <v>1065500</v>
      </c>
      <c r="E84" s="31">
        <v>1045000</v>
      </c>
      <c r="F84" s="31">
        <v>1045000</v>
      </c>
      <c r="G84" s="31">
        <f t="shared" si="18"/>
        <v>501978.66000000003</v>
      </c>
      <c r="H84" s="31">
        <f>188342.13+30147.14+36136.06+4985.77+65094.62</f>
        <v>324705.72000000003</v>
      </c>
      <c r="I84" s="31">
        <f>999.74+22207.41+23419.61+15411.89+1735.11+85+42955.58+2.93+317.22+17635.65+7962.8</f>
        <v>132732.93999999997</v>
      </c>
      <c r="J84" s="31">
        <v>0</v>
      </c>
      <c r="K84" s="31">
        <f>13540+31000</f>
        <v>44540</v>
      </c>
      <c r="L84" s="31">
        <f t="shared" si="19"/>
        <v>48.036235406698566</v>
      </c>
      <c r="M84" s="26">
        <f t="shared" si="20"/>
        <v>0</v>
      </c>
    </row>
    <row r="85" spans="1:13" s="1" customFormat="1" ht="12.75">
      <c r="A85" s="27"/>
      <c r="B85" s="32">
        <v>85158</v>
      </c>
      <c r="C85" s="29" t="s">
        <v>105</v>
      </c>
      <c r="D85" s="30">
        <v>10000</v>
      </c>
      <c r="E85" s="31">
        <v>15000</v>
      </c>
      <c r="F85" s="31">
        <v>50000</v>
      </c>
      <c r="G85" s="31">
        <f t="shared" si="18"/>
        <v>10667.37</v>
      </c>
      <c r="H85" s="31">
        <v>0</v>
      </c>
      <c r="I85" s="31">
        <v>10667.37</v>
      </c>
      <c r="J85" s="31">
        <v>0</v>
      </c>
      <c r="K85" s="31">
        <v>0</v>
      </c>
      <c r="L85" s="31">
        <f t="shared" si="19"/>
        <v>21.33474</v>
      </c>
      <c r="M85" s="26">
        <f t="shared" si="20"/>
        <v>0</v>
      </c>
    </row>
    <row r="86" spans="1:13" s="1" customFormat="1" ht="12.75">
      <c r="A86" s="27"/>
      <c r="B86" s="32">
        <v>85195</v>
      </c>
      <c r="C86" s="29" t="s">
        <v>23</v>
      </c>
      <c r="D86" s="30">
        <v>349231</v>
      </c>
      <c r="E86" s="31">
        <v>175622</v>
      </c>
      <c r="F86" s="31">
        <v>181622</v>
      </c>
      <c r="G86" s="31">
        <f t="shared" si="18"/>
        <v>87618.19</v>
      </c>
      <c r="H86" s="31">
        <v>0</v>
      </c>
      <c r="I86" s="31">
        <f>2248.34+748.25</f>
        <v>2996.59</v>
      </c>
      <c r="J86" s="31">
        <v>29621.6</v>
      </c>
      <c r="K86" s="31">
        <f>40000+10000+5000</f>
        <v>55000</v>
      </c>
      <c r="L86" s="31">
        <f t="shared" si="19"/>
        <v>48.242057680236975</v>
      </c>
      <c r="M86" s="26">
        <f t="shared" si="20"/>
        <v>0</v>
      </c>
    </row>
    <row r="87" spans="1:13" s="42" customFormat="1" ht="12.75">
      <c r="A87" s="36">
        <v>852</v>
      </c>
      <c r="B87" s="41"/>
      <c r="C87" s="23" t="s">
        <v>106</v>
      </c>
      <c r="D87" s="24">
        <v>12402606</v>
      </c>
      <c r="E87" s="25">
        <f>SUM(E88:E98)</f>
        <v>13914305</v>
      </c>
      <c r="F87" s="25">
        <f aca="true" t="shared" si="21" ref="F87:K87">SUM(F88:F98)</f>
        <v>14363406</v>
      </c>
      <c r="G87" s="25">
        <f t="shared" si="21"/>
        <v>6827413.709999999</v>
      </c>
      <c r="H87" s="25">
        <f t="shared" si="21"/>
        <v>1558852.5999999999</v>
      </c>
      <c r="I87" s="25">
        <f t="shared" si="21"/>
        <v>5128568.109999999</v>
      </c>
      <c r="J87" s="25">
        <f t="shared" si="21"/>
        <v>28218</v>
      </c>
      <c r="K87" s="25">
        <f t="shared" si="21"/>
        <v>111775.00000000003</v>
      </c>
      <c r="L87" s="25">
        <f t="shared" si="19"/>
        <v>47.53338943423307</v>
      </c>
      <c r="M87" s="26">
        <f t="shared" si="20"/>
        <v>0</v>
      </c>
    </row>
    <row r="88" spans="1:13" s="1" customFormat="1" ht="12.75">
      <c r="A88" s="27"/>
      <c r="B88" s="32">
        <v>85201</v>
      </c>
      <c r="C88" s="29" t="s">
        <v>107</v>
      </c>
      <c r="D88" s="30">
        <v>277506</v>
      </c>
      <c r="E88" s="31">
        <f>2211362-466570</f>
        <v>1744792</v>
      </c>
      <c r="F88" s="31">
        <f>2327500-3000-466570</f>
        <v>1857930</v>
      </c>
      <c r="G88" s="31">
        <f t="shared" si="18"/>
        <v>809723.3300000001</v>
      </c>
      <c r="H88" s="31">
        <f>342858.04+56467.15+65031.15+8278.26+1806.52-1433.36</f>
        <v>473007.76000000007</v>
      </c>
      <c r="I88" s="31">
        <f>1018.16+54219.94+42027.02+58377.16+9620.44+34273.76+12520.16+904+19179.13+449.8+27160</f>
        <v>259749.57</v>
      </c>
      <c r="J88" s="31">
        <v>4306</v>
      </c>
      <c r="K88" s="31">
        <f>214516.78+72660-214516.78</f>
        <v>72660.00000000003</v>
      </c>
      <c r="L88" s="31">
        <f t="shared" si="19"/>
        <v>43.5820149305948</v>
      </c>
      <c r="M88" s="26">
        <f t="shared" si="20"/>
        <v>0</v>
      </c>
    </row>
    <row r="89" spans="1:13" s="1" customFormat="1" ht="12.75">
      <c r="A89" s="27"/>
      <c r="B89" s="32">
        <v>85202</v>
      </c>
      <c r="C89" s="29" t="s">
        <v>108</v>
      </c>
      <c r="D89" s="30">
        <v>482275</v>
      </c>
      <c r="E89" s="31">
        <v>833697</v>
      </c>
      <c r="F89" s="31">
        <f>1693329-709632</f>
        <v>983697</v>
      </c>
      <c r="G89" s="31">
        <f t="shared" si="18"/>
        <v>464005.54</v>
      </c>
      <c r="H89" s="43">
        <f>296334.35+55524.22+58272.83+7712.61-287417.13-7712.61</f>
        <v>122714.26999999995</v>
      </c>
      <c r="I89" s="31">
        <f>5343.51+336+27214.88+60623.94+14711.55+16141.67+3281.18+460+13067.7+167319.2+78.08+529.86+3111+21500-10846.56-2076.74</f>
        <v>320795.27</v>
      </c>
      <c r="J89" s="31">
        <v>20496</v>
      </c>
      <c r="K89" s="31">
        <v>0</v>
      </c>
      <c r="L89" s="31">
        <f t="shared" si="19"/>
        <v>47.16955932568667</v>
      </c>
      <c r="M89" s="26">
        <f t="shared" si="20"/>
        <v>0</v>
      </c>
    </row>
    <row r="90" spans="1:13" s="1" customFormat="1" ht="12.75">
      <c r="A90" s="27"/>
      <c r="B90" s="32">
        <v>85203</v>
      </c>
      <c r="C90" s="29" t="s">
        <v>109</v>
      </c>
      <c r="D90" s="30">
        <v>455049</v>
      </c>
      <c r="E90" s="31">
        <v>555268</v>
      </c>
      <c r="F90" s="31">
        <v>554927</v>
      </c>
      <c r="G90" s="31">
        <f t="shared" si="18"/>
        <v>252891.08000000002</v>
      </c>
      <c r="H90" s="31">
        <f>131369.18+21077.39+25753.34+3585.07</f>
        <v>181784.98</v>
      </c>
      <c r="I90" s="31">
        <f>305.09+13611.82+21915.69+19267.39+292.8+9121.64+6591.67</f>
        <v>71106.1</v>
      </c>
      <c r="J90" s="31">
        <v>0</v>
      </c>
      <c r="K90" s="31">
        <v>0</v>
      </c>
      <c r="L90" s="31">
        <f t="shared" si="19"/>
        <v>45.57195450933186</v>
      </c>
      <c r="M90" s="26">
        <f t="shared" si="20"/>
        <v>0</v>
      </c>
    </row>
    <row r="91" spans="1:13" s="1" customFormat="1" ht="12.75">
      <c r="A91" s="27"/>
      <c r="B91" s="32">
        <v>85204</v>
      </c>
      <c r="C91" s="29" t="s">
        <v>110</v>
      </c>
      <c r="D91" s="30">
        <v>986218</v>
      </c>
      <c r="E91" s="31">
        <f>1162092-27000</f>
        <v>1135092</v>
      </c>
      <c r="F91" s="31">
        <f>1222092-27000</f>
        <v>1195092</v>
      </c>
      <c r="G91" s="31">
        <f t="shared" si="18"/>
        <v>710054.38</v>
      </c>
      <c r="H91" s="31">
        <f>3690+556+22694</f>
        <v>26940</v>
      </c>
      <c r="I91" s="31">
        <v>683114.38</v>
      </c>
      <c r="J91" s="31">
        <v>0</v>
      </c>
      <c r="K91" s="31">
        <f>8049.3-8049.3</f>
        <v>0</v>
      </c>
      <c r="L91" s="31">
        <f t="shared" si="19"/>
        <v>59.41420242123619</v>
      </c>
      <c r="M91" s="26">
        <f t="shared" si="20"/>
        <v>0</v>
      </c>
    </row>
    <row r="92" spans="1:13" s="1" customFormat="1" ht="12.75">
      <c r="A92" s="27"/>
      <c r="B92" s="32">
        <v>85214</v>
      </c>
      <c r="C92" s="29" t="s">
        <v>111</v>
      </c>
      <c r="D92" s="30">
        <v>2715130</v>
      </c>
      <c r="E92" s="31">
        <v>2300000</v>
      </c>
      <c r="F92" s="31">
        <f>4117491-1031732-759159</f>
        <v>2326600</v>
      </c>
      <c r="G92" s="31">
        <f t="shared" si="18"/>
        <v>915450.96</v>
      </c>
      <c r="H92" s="31">
        <v>0</v>
      </c>
      <c r="I92" s="31">
        <f>1825875.45-475460.3-434964.19</f>
        <v>915450.96</v>
      </c>
      <c r="J92" s="31">
        <v>0</v>
      </c>
      <c r="K92" s="31">
        <v>0</v>
      </c>
      <c r="L92" s="31">
        <f t="shared" si="19"/>
        <v>39.34715722513539</v>
      </c>
      <c r="M92" s="26">
        <f t="shared" si="20"/>
        <v>0</v>
      </c>
    </row>
    <row r="93" spans="1:13" s="1" customFormat="1" ht="12.75">
      <c r="A93" s="27"/>
      <c r="B93" s="32">
        <v>85215</v>
      </c>
      <c r="C93" s="29" t="s">
        <v>112</v>
      </c>
      <c r="D93" s="30">
        <v>5323915</v>
      </c>
      <c r="E93" s="31">
        <v>4200000</v>
      </c>
      <c r="F93" s="31">
        <v>4200000</v>
      </c>
      <c r="G93" s="31">
        <f t="shared" si="18"/>
        <v>2625085.65</v>
      </c>
      <c r="H93" s="31">
        <v>0</v>
      </c>
      <c r="I93" s="31">
        <v>2625085.65</v>
      </c>
      <c r="J93" s="31">
        <v>0</v>
      </c>
      <c r="K93" s="31">
        <v>0</v>
      </c>
      <c r="L93" s="31">
        <f t="shared" si="19"/>
        <v>62.50203928571428</v>
      </c>
      <c r="M93" s="26">
        <f t="shared" si="20"/>
        <v>0</v>
      </c>
    </row>
    <row r="94" spans="1:13" s="1" customFormat="1" ht="12.75">
      <c r="A94" s="27"/>
      <c r="B94" s="32">
        <v>85219</v>
      </c>
      <c r="C94" s="29" t="s">
        <v>113</v>
      </c>
      <c r="D94" s="30">
        <v>1642403</v>
      </c>
      <c r="E94" s="31">
        <v>2701886</v>
      </c>
      <c r="F94" s="31">
        <f>3420241-687051</f>
        <v>2733190</v>
      </c>
      <c r="G94" s="31">
        <f t="shared" si="18"/>
        <v>896477.46</v>
      </c>
      <c r="H94" s="31">
        <f>849864.03+136822.75+156404.01+21616.91+600-410902.11</f>
        <v>754405.59</v>
      </c>
      <c r="I94" s="31">
        <f>3962.79+36570.98+23892.16+5883.68+52649.41+524.17+3779.53+522+39072.32+3132-31333.17</f>
        <v>138655.87</v>
      </c>
      <c r="J94" s="31">
        <v>3416</v>
      </c>
      <c r="K94" s="31">
        <v>0</v>
      </c>
      <c r="L94" s="31">
        <f t="shared" si="19"/>
        <v>32.79967583665973</v>
      </c>
      <c r="M94" s="26">
        <f t="shared" si="20"/>
        <v>0</v>
      </c>
    </row>
    <row r="95" spans="1:13" s="1" customFormat="1" ht="12.75">
      <c r="A95" s="27"/>
      <c r="B95" s="32">
        <v>85220</v>
      </c>
      <c r="C95" s="29" t="s">
        <v>114</v>
      </c>
      <c r="D95" s="30">
        <v>27000</v>
      </c>
      <c r="E95" s="31">
        <v>32800</v>
      </c>
      <c r="F95" s="31">
        <v>53800</v>
      </c>
      <c r="G95" s="31">
        <f t="shared" si="18"/>
        <v>15154.75</v>
      </c>
      <c r="H95" s="31">
        <v>0</v>
      </c>
      <c r="I95" s="31">
        <v>15154.75</v>
      </c>
      <c r="J95" s="31">
        <v>0</v>
      </c>
      <c r="K95" s="31">
        <v>0</v>
      </c>
      <c r="L95" s="31">
        <f t="shared" si="19"/>
        <v>28.16868029739777</v>
      </c>
      <c r="M95" s="26">
        <f t="shared" si="20"/>
        <v>0</v>
      </c>
    </row>
    <row r="96" spans="1:13" s="1" customFormat="1" ht="12.75">
      <c r="A96" s="27"/>
      <c r="B96" s="32">
        <v>85228</v>
      </c>
      <c r="C96" s="29" t="s">
        <v>115</v>
      </c>
      <c r="D96" s="30">
        <v>380000</v>
      </c>
      <c r="E96" s="31">
        <v>280000</v>
      </c>
      <c r="F96" s="31">
        <f>293424-13424</f>
        <v>280000</v>
      </c>
      <c r="G96" s="31">
        <f t="shared" si="18"/>
        <v>80943.56</v>
      </c>
      <c r="H96" s="31">
        <v>0</v>
      </c>
      <c r="I96" s="31">
        <f>84722.02-3778.46</f>
        <v>80943.56</v>
      </c>
      <c r="J96" s="31">
        <v>0</v>
      </c>
      <c r="K96" s="31">
        <v>0</v>
      </c>
      <c r="L96" s="31">
        <f t="shared" si="19"/>
        <v>28.908414285714287</v>
      </c>
      <c r="M96" s="26">
        <f t="shared" si="20"/>
        <v>0</v>
      </c>
    </row>
    <row r="97" spans="1:13" s="1" customFormat="1" ht="12.75">
      <c r="A97" s="27"/>
      <c r="B97" s="32">
        <v>85232</v>
      </c>
      <c r="C97" s="29" t="s">
        <v>116</v>
      </c>
      <c r="D97" s="30"/>
      <c r="E97" s="31">
        <v>16000</v>
      </c>
      <c r="F97" s="31">
        <v>14000</v>
      </c>
      <c r="G97" s="31">
        <f t="shared" si="18"/>
        <v>0</v>
      </c>
      <c r="H97" s="31">
        <v>0</v>
      </c>
      <c r="I97" s="31">
        <v>0</v>
      </c>
      <c r="J97" s="31">
        <v>0</v>
      </c>
      <c r="K97" s="31">
        <v>0</v>
      </c>
      <c r="L97" s="31">
        <f t="shared" si="19"/>
        <v>0</v>
      </c>
      <c r="M97" s="26"/>
    </row>
    <row r="98" spans="1:13" s="1" customFormat="1" ht="12.75">
      <c r="A98" s="27"/>
      <c r="B98" s="32">
        <v>85295</v>
      </c>
      <c r="C98" s="29" t="s">
        <v>23</v>
      </c>
      <c r="D98" s="30">
        <v>113110</v>
      </c>
      <c r="E98" s="31">
        <v>114770</v>
      </c>
      <c r="F98" s="31">
        <f>439971-275801</f>
        <v>164170</v>
      </c>
      <c r="G98" s="31">
        <f t="shared" si="18"/>
        <v>57627</v>
      </c>
      <c r="H98" s="31">
        <v>0</v>
      </c>
      <c r="I98" s="31">
        <f>168390.99-149878.99</f>
        <v>18512</v>
      </c>
      <c r="J98" s="31">
        <v>0</v>
      </c>
      <c r="K98" s="31">
        <v>39115</v>
      </c>
      <c r="L98" s="31">
        <f t="shared" si="19"/>
        <v>35.10202838521045</v>
      </c>
      <c r="M98" s="26">
        <f t="shared" si="20"/>
        <v>0</v>
      </c>
    </row>
    <row r="99" spans="1:13" ht="12.75">
      <c r="A99" s="22" t="s">
        <v>117</v>
      </c>
      <c r="B99" s="22"/>
      <c r="C99" s="23" t="s">
        <v>118</v>
      </c>
      <c r="D99" s="24">
        <v>1664083</v>
      </c>
      <c r="E99" s="25">
        <f>SUM(E100:E105)</f>
        <v>1840933</v>
      </c>
      <c r="F99" s="25">
        <f aca="true" t="shared" si="22" ref="F99:K99">SUM(F100:F105)</f>
        <v>2167845</v>
      </c>
      <c r="G99" s="25">
        <f t="shared" si="22"/>
        <v>962145.8</v>
      </c>
      <c r="H99" s="25">
        <f t="shared" si="22"/>
        <v>762251.46</v>
      </c>
      <c r="I99" s="25">
        <f t="shared" si="22"/>
        <v>167167.46999999997</v>
      </c>
      <c r="J99" s="25">
        <f t="shared" si="22"/>
        <v>226.87</v>
      </c>
      <c r="K99" s="25">
        <f t="shared" si="22"/>
        <v>32500</v>
      </c>
      <c r="L99" s="25">
        <f t="shared" si="19"/>
        <v>44.382591928851</v>
      </c>
      <c r="M99" s="26">
        <f t="shared" si="20"/>
        <v>0</v>
      </c>
    </row>
    <row r="100" spans="1:13" s="1" customFormat="1" ht="14.25" customHeight="1">
      <c r="A100" s="27"/>
      <c r="B100" s="27">
        <v>85305</v>
      </c>
      <c r="C100" s="29" t="s">
        <v>119</v>
      </c>
      <c r="D100" s="44">
        <v>645333</v>
      </c>
      <c r="E100" s="31">
        <v>716600</v>
      </c>
      <c r="F100" s="31">
        <v>716600</v>
      </c>
      <c r="G100" s="31">
        <f t="shared" si="18"/>
        <v>370752.29</v>
      </c>
      <c r="H100" s="31">
        <f>214503.97+35724.75+43800.95+6095.7</f>
        <v>300125.37</v>
      </c>
      <c r="I100" s="31">
        <f>3826.47+17829.3+78.76+26433.7+1336.4+8762.99+10.3+49+12300</f>
        <v>70626.92</v>
      </c>
      <c r="J100" s="31">
        <v>0</v>
      </c>
      <c r="K100" s="31">
        <v>0</v>
      </c>
      <c r="L100" s="31">
        <f t="shared" si="19"/>
        <v>51.73769048283561</v>
      </c>
      <c r="M100" s="26">
        <f t="shared" si="20"/>
        <v>0</v>
      </c>
    </row>
    <row r="101" spans="1:13" s="1" customFormat="1" ht="12.75">
      <c r="A101" s="32"/>
      <c r="B101" s="32">
        <v>85321</v>
      </c>
      <c r="C101" s="29" t="s">
        <v>120</v>
      </c>
      <c r="D101" s="30">
        <v>81812</v>
      </c>
      <c r="E101" s="31">
        <v>85414</v>
      </c>
      <c r="F101" s="31">
        <f>141384-57000</f>
        <v>84384</v>
      </c>
      <c r="G101" s="31">
        <f t="shared" si="18"/>
        <v>41612.73</v>
      </c>
      <c r="H101" s="31">
        <f>35442.6+4969.65+7408.76+1031.25+3576-12510-2200-2339.1-383.9-1998</f>
        <v>32997.26</v>
      </c>
      <c r="I101" s="31">
        <f>2872.01+424+559.98+11814.73+4.88+1719.56-1777.69-7002</f>
        <v>8615.47</v>
      </c>
      <c r="J101" s="31">
        <v>0</v>
      </c>
      <c r="K101" s="31">
        <v>0</v>
      </c>
      <c r="L101" s="31">
        <f t="shared" si="19"/>
        <v>49.31353100113766</v>
      </c>
      <c r="M101" s="26">
        <f t="shared" si="20"/>
        <v>0</v>
      </c>
    </row>
    <row r="102" spans="1:13" s="1" customFormat="1" ht="12.75">
      <c r="A102" s="32"/>
      <c r="B102" s="32">
        <v>85322</v>
      </c>
      <c r="C102" s="29" t="s">
        <v>121</v>
      </c>
      <c r="D102" s="30">
        <v>168800</v>
      </c>
      <c r="E102" s="31">
        <v>0</v>
      </c>
      <c r="F102" s="31">
        <v>47422</v>
      </c>
      <c r="G102" s="31">
        <f t="shared" si="18"/>
        <v>15574.33</v>
      </c>
      <c r="H102" s="31">
        <f>1267+2636</f>
        <v>3903</v>
      </c>
      <c r="I102" s="31">
        <f>3820+1018.78+19+6110+349.14+127.54</f>
        <v>11444.46</v>
      </c>
      <c r="J102" s="31">
        <v>226.87</v>
      </c>
      <c r="K102" s="31">
        <v>0</v>
      </c>
      <c r="L102" s="31">
        <f t="shared" si="19"/>
        <v>32.841993167728056</v>
      </c>
      <c r="M102" s="26">
        <f t="shared" si="20"/>
        <v>0</v>
      </c>
    </row>
    <row r="103" spans="1:13" s="1" customFormat="1" ht="12.75">
      <c r="A103" s="32"/>
      <c r="B103" s="32">
        <v>85333</v>
      </c>
      <c r="C103" s="29" t="s">
        <v>122</v>
      </c>
      <c r="D103" s="30">
        <v>664638</v>
      </c>
      <c r="E103" s="31">
        <v>782644</v>
      </c>
      <c r="F103" s="31">
        <v>957344</v>
      </c>
      <c r="G103" s="31">
        <f t="shared" si="18"/>
        <v>486300.7699999999</v>
      </c>
      <c r="H103" s="31">
        <f>306603.97+44418+59062.92+6566.17</f>
        <v>416651.05999999994</v>
      </c>
      <c r="I103" s="31">
        <f>13144.08+1023.43+865.5+34207.36+1572.34+1837+17000</f>
        <v>69649.70999999999</v>
      </c>
      <c r="J103" s="31">
        <v>0</v>
      </c>
      <c r="K103" s="31">
        <v>0</v>
      </c>
      <c r="L103" s="31">
        <f t="shared" si="19"/>
        <v>50.79686821038205</v>
      </c>
      <c r="M103" s="26">
        <f t="shared" si="20"/>
        <v>0</v>
      </c>
    </row>
    <row r="104" spans="1:13" s="1" customFormat="1" ht="12.75">
      <c r="A104" s="32"/>
      <c r="B104" s="32">
        <v>85334</v>
      </c>
      <c r="C104" s="29" t="s">
        <v>123</v>
      </c>
      <c r="D104" s="30"/>
      <c r="E104" s="31">
        <v>171275</v>
      </c>
      <c r="F104" s="31">
        <f>160775-110000</f>
        <v>50775</v>
      </c>
      <c r="G104" s="31">
        <f t="shared" si="18"/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f t="shared" si="19"/>
        <v>0</v>
      </c>
      <c r="M104" s="26"/>
    </row>
    <row r="105" spans="1:13" s="1" customFormat="1" ht="13.5" customHeight="1">
      <c r="A105" s="27"/>
      <c r="B105" s="27">
        <v>85395</v>
      </c>
      <c r="C105" s="29" t="s">
        <v>23</v>
      </c>
      <c r="D105" s="30">
        <v>103500</v>
      </c>
      <c r="E105" s="31">
        <v>85000</v>
      </c>
      <c r="F105" s="31">
        <v>311320</v>
      </c>
      <c r="G105" s="31">
        <f t="shared" si="18"/>
        <v>47905.68000000001</v>
      </c>
      <c r="H105" s="31">
        <f>5497.14+1232.03+175.6+1670</f>
        <v>8574.77</v>
      </c>
      <c r="I105" s="31">
        <f>6822.9+8.01</f>
        <v>6830.91</v>
      </c>
      <c r="J105" s="31">
        <v>0</v>
      </c>
      <c r="K105" s="31">
        <v>32500</v>
      </c>
      <c r="L105" s="31">
        <f t="shared" si="19"/>
        <v>15.387922394963384</v>
      </c>
      <c r="M105" s="26">
        <f t="shared" si="20"/>
        <v>0</v>
      </c>
    </row>
    <row r="106" spans="1:13" ht="12.75">
      <c r="A106" s="22" t="s">
        <v>124</v>
      </c>
      <c r="B106" s="22"/>
      <c r="C106" s="23" t="s">
        <v>125</v>
      </c>
      <c r="D106" s="24">
        <v>5328821</v>
      </c>
      <c r="E106" s="25">
        <f aca="true" t="shared" si="23" ref="E106:K106">SUM(E107:E114)</f>
        <v>5747783</v>
      </c>
      <c r="F106" s="25">
        <f t="shared" si="23"/>
        <v>5823166</v>
      </c>
      <c r="G106" s="25">
        <f t="shared" si="23"/>
        <v>2959548.1700000004</v>
      </c>
      <c r="H106" s="25">
        <f t="shared" si="23"/>
        <v>1402763.1600000001</v>
      </c>
      <c r="I106" s="25">
        <f t="shared" si="23"/>
        <v>892297.25</v>
      </c>
      <c r="J106" s="25">
        <f t="shared" si="23"/>
        <v>0</v>
      </c>
      <c r="K106" s="25">
        <f t="shared" si="23"/>
        <v>664487.76</v>
      </c>
      <c r="L106" s="25">
        <f t="shared" si="19"/>
        <v>50.82369573527529</v>
      </c>
      <c r="M106" s="26">
        <f t="shared" si="20"/>
        <v>0</v>
      </c>
    </row>
    <row r="107" spans="1:13" s="1" customFormat="1" ht="12.75">
      <c r="A107" s="32"/>
      <c r="B107" s="32">
        <v>85401</v>
      </c>
      <c r="C107" s="29" t="s">
        <v>126</v>
      </c>
      <c r="D107" s="30">
        <v>2734108</v>
      </c>
      <c r="E107" s="31">
        <v>1733643</v>
      </c>
      <c r="F107" s="31">
        <v>1728395</v>
      </c>
      <c r="G107" s="31">
        <f t="shared" si="18"/>
        <v>868708.35</v>
      </c>
      <c r="H107" s="31">
        <f>571065.6+88722.5+115068.53+14888.72</f>
        <v>789745.35</v>
      </c>
      <c r="I107" s="31">
        <f>78963</f>
        <v>78963</v>
      </c>
      <c r="J107" s="31">
        <v>0</v>
      </c>
      <c r="K107" s="31">
        <v>0</v>
      </c>
      <c r="L107" s="31">
        <f t="shared" si="19"/>
        <v>50.26098490217803</v>
      </c>
      <c r="M107" s="26">
        <f t="shared" si="20"/>
        <v>0</v>
      </c>
    </row>
    <row r="108" spans="1:13" s="1" customFormat="1" ht="12.75">
      <c r="A108" s="32"/>
      <c r="B108" s="32">
        <v>85402</v>
      </c>
      <c r="C108" s="29" t="s">
        <v>127</v>
      </c>
      <c r="D108" s="30">
        <v>1100000</v>
      </c>
      <c r="E108" s="31">
        <v>1310000</v>
      </c>
      <c r="F108" s="31">
        <v>1310000</v>
      </c>
      <c r="G108" s="31">
        <f t="shared" si="18"/>
        <v>664487.76</v>
      </c>
      <c r="H108" s="31">
        <v>0</v>
      </c>
      <c r="I108" s="31">
        <v>0</v>
      </c>
      <c r="J108" s="31">
        <v>0</v>
      </c>
      <c r="K108" s="31">
        <v>664487.76</v>
      </c>
      <c r="L108" s="31">
        <f t="shared" si="19"/>
        <v>50.72425648854962</v>
      </c>
      <c r="M108" s="26">
        <f t="shared" si="20"/>
        <v>0</v>
      </c>
    </row>
    <row r="109" spans="1:13" s="1" customFormat="1" ht="12.75">
      <c r="A109" s="32"/>
      <c r="B109" s="32">
        <v>85406</v>
      </c>
      <c r="C109" s="29" t="s">
        <v>128</v>
      </c>
      <c r="D109" s="30">
        <v>679525</v>
      </c>
      <c r="E109" s="31">
        <v>752419</v>
      </c>
      <c r="F109" s="31">
        <v>752536</v>
      </c>
      <c r="G109" s="31">
        <f t="shared" si="18"/>
        <v>386670.62000000005</v>
      </c>
      <c r="H109" s="31">
        <f>243761.78+39359.5+47151.26+6508.43+1217.5</f>
        <v>337998.47000000003</v>
      </c>
      <c r="I109" s="31">
        <f>500+50.01+8998.15+991.86+11844.93+610.2+253+25424</f>
        <v>48672.15</v>
      </c>
      <c r="J109" s="31">
        <v>0</v>
      </c>
      <c r="K109" s="31">
        <v>0</v>
      </c>
      <c r="L109" s="31">
        <f t="shared" si="19"/>
        <v>51.38234184145344</v>
      </c>
      <c r="M109" s="26">
        <f t="shared" si="20"/>
        <v>0</v>
      </c>
    </row>
    <row r="110" spans="1:13" s="1" customFormat="1" ht="12.75">
      <c r="A110" s="32"/>
      <c r="B110" s="32">
        <v>85407</v>
      </c>
      <c r="C110" s="29" t="s">
        <v>129</v>
      </c>
      <c r="D110" s="30">
        <v>510220</v>
      </c>
      <c r="E110" s="31">
        <v>568026</v>
      </c>
      <c r="F110" s="31">
        <v>570693</v>
      </c>
      <c r="G110" s="31">
        <f t="shared" si="18"/>
        <v>306922.25999999995</v>
      </c>
      <c r="H110" s="31">
        <f>198069.26+30801.3+40394.79+5522.99+231</f>
        <v>275019.33999999997</v>
      </c>
      <c r="I110" s="31">
        <f>177+9571.4+157.5+745.36+542.66+20709</f>
        <v>31902.92</v>
      </c>
      <c r="J110" s="31">
        <v>0</v>
      </c>
      <c r="K110" s="31">
        <v>0</v>
      </c>
      <c r="L110" s="31">
        <f t="shared" si="19"/>
        <v>53.78062460902797</v>
      </c>
      <c r="M110" s="26">
        <f t="shared" si="20"/>
        <v>0</v>
      </c>
    </row>
    <row r="111" spans="1:13" s="1" customFormat="1" ht="40.5" customHeight="1">
      <c r="A111" s="32"/>
      <c r="B111" s="32">
        <v>85412</v>
      </c>
      <c r="C111" s="29" t="s">
        <v>130</v>
      </c>
      <c r="D111" s="30">
        <v>199900</v>
      </c>
      <c r="E111" s="31">
        <v>945521</v>
      </c>
      <c r="F111" s="31">
        <v>1012381</v>
      </c>
      <c r="G111" s="31">
        <f t="shared" si="18"/>
        <v>571376.18</v>
      </c>
      <c r="H111" s="31">
        <v>0</v>
      </c>
      <c r="I111" s="31">
        <v>571376.18</v>
      </c>
      <c r="J111" s="31">
        <v>0</v>
      </c>
      <c r="K111" s="31">
        <v>0</v>
      </c>
      <c r="L111" s="31">
        <f t="shared" si="19"/>
        <v>56.43884861529405</v>
      </c>
      <c r="M111" s="26">
        <f t="shared" si="20"/>
        <v>0</v>
      </c>
    </row>
    <row r="112" spans="1:13" s="1" customFormat="1" ht="12.75">
      <c r="A112" s="32"/>
      <c r="B112" s="32">
        <v>85415</v>
      </c>
      <c r="C112" s="29" t="s">
        <v>131</v>
      </c>
      <c r="D112" s="30">
        <v>100000</v>
      </c>
      <c r="E112" s="31">
        <v>435000</v>
      </c>
      <c r="F112" s="31">
        <f>671014-236014</f>
        <v>435000</v>
      </c>
      <c r="G112" s="31">
        <f t="shared" si="18"/>
        <v>155597</v>
      </c>
      <c r="H112" s="31">
        <v>0</v>
      </c>
      <c r="I112" s="31">
        <f>391611-236014</f>
        <v>155597</v>
      </c>
      <c r="J112" s="31">
        <v>0</v>
      </c>
      <c r="K112" s="31">
        <v>0</v>
      </c>
      <c r="L112" s="31">
        <f t="shared" si="19"/>
        <v>35.76942528735632</v>
      </c>
      <c r="M112" s="26">
        <f t="shared" si="20"/>
        <v>0</v>
      </c>
    </row>
    <row r="113" spans="1:13" s="1" customFormat="1" ht="12.75">
      <c r="A113" s="32"/>
      <c r="B113" s="32">
        <v>85446</v>
      </c>
      <c r="C113" s="29" t="s">
        <v>94</v>
      </c>
      <c r="D113" s="30">
        <v>2000</v>
      </c>
      <c r="E113" s="31">
        <v>0</v>
      </c>
      <c r="F113" s="31">
        <v>10040</v>
      </c>
      <c r="G113" s="31">
        <f t="shared" si="18"/>
        <v>2615</v>
      </c>
      <c r="H113" s="31">
        <v>0</v>
      </c>
      <c r="I113" s="31">
        <v>2615</v>
      </c>
      <c r="J113" s="31">
        <v>0</v>
      </c>
      <c r="K113" s="31">
        <v>0</v>
      </c>
      <c r="L113" s="31">
        <f t="shared" si="19"/>
        <v>26.045816733067728</v>
      </c>
      <c r="M113" s="26">
        <f t="shared" si="20"/>
        <v>0</v>
      </c>
    </row>
    <row r="114" spans="1:13" s="1" customFormat="1" ht="12.75">
      <c r="A114" s="32"/>
      <c r="B114" s="32">
        <v>85495</v>
      </c>
      <c r="C114" s="29" t="s">
        <v>23</v>
      </c>
      <c r="D114" s="30">
        <v>3068</v>
      </c>
      <c r="E114" s="31">
        <v>3174</v>
      </c>
      <c r="F114" s="31">
        <v>4121</v>
      </c>
      <c r="G114" s="31">
        <f t="shared" si="18"/>
        <v>3171</v>
      </c>
      <c r="H114" s="31">
        <v>0</v>
      </c>
      <c r="I114" s="31">
        <v>3171</v>
      </c>
      <c r="J114" s="31">
        <v>0</v>
      </c>
      <c r="K114" s="31">
        <v>0</v>
      </c>
      <c r="L114" s="31">
        <f t="shared" si="19"/>
        <v>76.94734287794225</v>
      </c>
      <c r="M114" s="26">
        <f t="shared" si="20"/>
        <v>0</v>
      </c>
    </row>
    <row r="115" spans="1:13" ht="12.75">
      <c r="A115" s="22" t="s">
        <v>132</v>
      </c>
      <c r="B115" s="22"/>
      <c r="C115" s="23" t="s">
        <v>133</v>
      </c>
      <c r="D115" s="24">
        <v>5905979</v>
      </c>
      <c r="E115" s="25">
        <f aca="true" t="shared" si="24" ref="E115:K115">SUM(E116:E122)</f>
        <v>7555507</v>
      </c>
      <c r="F115" s="25">
        <f t="shared" si="24"/>
        <v>7829107</v>
      </c>
      <c r="G115" s="25">
        <f t="shared" si="24"/>
        <v>4141602.77</v>
      </c>
      <c r="H115" s="25">
        <f t="shared" si="24"/>
        <v>0</v>
      </c>
      <c r="I115" s="25">
        <f t="shared" si="24"/>
        <v>3780171.13</v>
      </c>
      <c r="J115" s="25">
        <f t="shared" si="24"/>
        <v>361431.64</v>
      </c>
      <c r="K115" s="25">
        <f t="shared" si="24"/>
        <v>0</v>
      </c>
      <c r="L115" s="25">
        <f t="shared" si="19"/>
        <v>52.90006599730978</v>
      </c>
      <c r="M115" s="26">
        <f t="shared" si="20"/>
        <v>0</v>
      </c>
    </row>
    <row r="116" spans="1:13" s="1" customFormat="1" ht="14.25" customHeight="1">
      <c r="A116" s="27"/>
      <c r="B116" s="27">
        <v>90001</v>
      </c>
      <c r="C116" s="29" t="s">
        <v>134</v>
      </c>
      <c r="D116" s="30">
        <v>442804</v>
      </c>
      <c r="E116" s="31">
        <v>580007</v>
      </c>
      <c r="F116" s="31">
        <v>283928</v>
      </c>
      <c r="G116" s="31">
        <f t="shared" si="18"/>
        <v>83768.62</v>
      </c>
      <c r="H116" s="31">
        <v>0</v>
      </c>
      <c r="I116" s="31">
        <v>83768.62</v>
      </c>
      <c r="J116" s="31">
        <v>0</v>
      </c>
      <c r="K116" s="31">
        <v>0</v>
      </c>
      <c r="L116" s="31">
        <f t="shared" si="19"/>
        <v>29.50347271139162</v>
      </c>
      <c r="M116" s="26">
        <f t="shared" si="20"/>
        <v>0</v>
      </c>
    </row>
    <row r="117" spans="1:13" s="1" customFormat="1" ht="12.75">
      <c r="A117" s="27"/>
      <c r="B117" s="27">
        <v>90003</v>
      </c>
      <c r="C117" s="29" t="s">
        <v>135</v>
      </c>
      <c r="D117" s="30">
        <v>2438070</v>
      </c>
      <c r="E117" s="31">
        <v>2540000</v>
      </c>
      <c r="F117" s="31">
        <v>3071775</v>
      </c>
      <c r="G117" s="31">
        <f t="shared" si="18"/>
        <v>1895640.02</v>
      </c>
      <c r="H117" s="31">
        <v>0</v>
      </c>
      <c r="I117" s="31">
        <v>1895640.02</v>
      </c>
      <c r="J117" s="31">
        <v>0</v>
      </c>
      <c r="K117" s="31">
        <v>0</v>
      </c>
      <c r="L117" s="31">
        <f t="shared" si="19"/>
        <v>61.71155179008879</v>
      </c>
      <c r="M117" s="26">
        <f t="shared" si="20"/>
        <v>0</v>
      </c>
    </row>
    <row r="118" spans="1:13" s="1" customFormat="1" ht="12.75">
      <c r="A118" s="27"/>
      <c r="B118" s="27">
        <v>90004</v>
      </c>
      <c r="C118" s="29" t="s">
        <v>136</v>
      </c>
      <c r="D118" s="30">
        <v>404868</v>
      </c>
      <c r="E118" s="31">
        <v>990000</v>
      </c>
      <c r="F118" s="31">
        <v>130000</v>
      </c>
      <c r="G118" s="31">
        <f t="shared" si="18"/>
        <v>86508.43</v>
      </c>
      <c r="H118" s="31">
        <v>0</v>
      </c>
      <c r="I118" s="31">
        <v>86508.43</v>
      </c>
      <c r="J118" s="31">
        <v>0</v>
      </c>
      <c r="K118" s="31">
        <v>0</v>
      </c>
      <c r="L118" s="31">
        <f t="shared" si="19"/>
        <v>66.54494615384615</v>
      </c>
      <c r="M118" s="26">
        <f t="shared" si="20"/>
        <v>0</v>
      </c>
    </row>
    <row r="119" spans="1:13" s="1" customFormat="1" ht="16.5" customHeight="1">
      <c r="A119" s="27"/>
      <c r="B119" s="27">
        <v>90013</v>
      </c>
      <c r="C119" s="29" t="s">
        <v>137</v>
      </c>
      <c r="D119" s="30">
        <v>31952</v>
      </c>
      <c r="E119" s="31">
        <v>47000</v>
      </c>
      <c r="F119" s="31">
        <v>47000</v>
      </c>
      <c r="G119" s="31">
        <f t="shared" si="18"/>
        <v>24902</v>
      </c>
      <c r="H119" s="31">
        <v>0</v>
      </c>
      <c r="I119" s="31">
        <v>24902</v>
      </c>
      <c r="J119" s="31">
        <v>0</v>
      </c>
      <c r="K119" s="31">
        <v>0</v>
      </c>
      <c r="L119" s="31">
        <f t="shared" si="19"/>
        <v>52.98297872340426</v>
      </c>
      <c r="M119" s="26">
        <f t="shared" si="20"/>
        <v>0</v>
      </c>
    </row>
    <row r="120" spans="1:13" s="1" customFormat="1" ht="14.25" customHeight="1">
      <c r="A120" s="27"/>
      <c r="B120" s="27">
        <v>90015</v>
      </c>
      <c r="C120" s="29" t="s">
        <v>138</v>
      </c>
      <c r="D120" s="30">
        <v>2269786</v>
      </c>
      <c r="E120" s="31">
        <v>2600000</v>
      </c>
      <c r="F120" s="31">
        <v>2757800</v>
      </c>
      <c r="G120" s="31">
        <f t="shared" si="18"/>
        <v>1335499.64</v>
      </c>
      <c r="H120" s="31">
        <v>0</v>
      </c>
      <c r="I120" s="31">
        <v>1335499.64</v>
      </c>
      <c r="J120" s="31">
        <v>0</v>
      </c>
      <c r="K120" s="31">
        <v>0</v>
      </c>
      <c r="L120" s="31">
        <f t="shared" si="19"/>
        <v>48.42626876495757</v>
      </c>
      <c r="M120" s="26">
        <f t="shared" si="20"/>
        <v>0</v>
      </c>
    </row>
    <row r="121" spans="1:13" s="1" customFormat="1" ht="12.75">
      <c r="A121" s="27"/>
      <c r="B121" s="27">
        <v>90017</v>
      </c>
      <c r="C121" s="29" t="s">
        <v>139</v>
      </c>
      <c r="D121" s="30">
        <v>50000</v>
      </c>
      <c r="E121" s="31">
        <v>350000</v>
      </c>
      <c r="F121" s="31">
        <v>782000</v>
      </c>
      <c r="G121" s="31">
        <f t="shared" si="18"/>
        <v>570000</v>
      </c>
      <c r="H121" s="31">
        <v>0</v>
      </c>
      <c r="I121" s="31">
        <v>220000</v>
      </c>
      <c r="J121" s="31">
        <v>350000</v>
      </c>
      <c r="K121" s="31">
        <v>0</v>
      </c>
      <c r="L121" s="31">
        <f t="shared" si="19"/>
        <v>72.89002557544757</v>
      </c>
      <c r="M121" s="26">
        <f t="shared" si="20"/>
        <v>0</v>
      </c>
    </row>
    <row r="122" spans="1:13" s="1" customFormat="1" ht="14.25" customHeight="1">
      <c r="A122" s="27"/>
      <c r="B122" s="27">
        <v>90095</v>
      </c>
      <c r="C122" s="29" t="s">
        <v>23</v>
      </c>
      <c r="D122" s="30">
        <v>268499</v>
      </c>
      <c r="E122" s="31">
        <v>448500</v>
      </c>
      <c r="F122" s="31">
        <v>756604</v>
      </c>
      <c r="G122" s="31">
        <f t="shared" si="18"/>
        <v>145284.06</v>
      </c>
      <c r="H122" s="31">
        <v>0</v>
      </c>
      <c r="I122" s="31">
        <f>44023.15+50100.89+39728.38</f>
        <v>133852.42</v>
      </c>
      <c r="J122" s="31">
        <v>11431.64</v>
      </c>
      <c r="K122" s="31">
        <v>0</v>
      </c>
      <c r="L122" s="31">
        <f t="shared" si="19"/>
        <v>19.202126872181484</v>
      </c>
      <c r="M122" s="26">
        <f t="shared" si="20"/>
        <v>0</v>
      </c>
    </row>
    <row r="123" spans="1:13" ht="16.5" customHeight="1">
      <c r="A123" s="22" t="s">
        <v>140</v>
      </c>
      <c r="B123" s="22"/>
      <c r="C123" s="23" t="s">
        <v>141</v>
      </c>
      <c r="D123" s="24">
        <v>5152711</v>
      </c>
      <c r="E123" s="25">
        <f>SUM(E124:E129)</f>
        <v>5129300</v>
      </c>
      <c r="F123" s="25">
        <f aca="true" t="shared" si="25" ref="F123:K123">SUM(F124:F129)</f>
        <v>5975300</v>
      </c>
      <c r="G123" s="25">
        <f t="shared" si="25"/>
        <v>3070144.14</v>
      </c>
      <c r="H123" s="25">
        <f t="shared" si="25"/>
        <v>0</v>
      </c>
      <c r="I123" s="25">
        <f t="shared" si="25"/>
        <v>205914.14</v>
      </c>
      <c r="J123" s="25">
        <f t="shared" si="25"/>
        <v>0</v>
      </c>
      <c r="K123" s="25">
        <f t="shared" si="25"/>
        <v>2864230</v>
      </c>
      <c r="L123" s="25">
        <f t="shared" si="19"/>
        <v>51.380585744648805</v>
      </c>
      <c r="M123" s="26">
        <f t="shared" si="20"/>
        <v>0</v>
      </c>
    </row>
    <row r="124" spans="1:13" s="1" customFormat="1" ht="12.75">
      <c r="A124" s="32"/>
      <c r="B124" s="32">
        <v>92109</v>
      </c>
      <c r="C124" s="29" t="s">
        <v>142</v>
      </c>
      <c r="D124" s="30">
        <v>1525000</v>
      </c>
      <c r="E124" s="31">
        <v>1515000</v>
      </c>
      <c r="F124" s="31">
        <v>1561000</v>
      </c>
      <c r="G124" s="31">
        <f t="shared" si="18"/>
        <v>985200</v>
      </c>
      <c r="H124" s="31">
        <v>0</v>
      </c>
      <c r="I124" s="31">
        <v>0</v>
      </c>
      <c r="J124" s="31">
        <v>0</v>
      </c>
      <c r="K124" s="31">
        <v>985200</v>
      </c>
      <c r="L124" s="31">
        <f t="shared" si="19"/>
        <v>63.11338885329917</v>
      </c>
      <c r="M124" s="26">
        <f t="shared" si="20"/>
        <v>0</v>
      </c>
    </row>
    <row r="125" spans="1:13" s="1" customFormat="1" ht="12.75">
      <c r="A125" s="32"/>
      <c r="B125" s="32">
        <v>92113</v>
      </c>
      <c r="C125" s="29" t="s">
        <v>143</v>
      </c>
      <c r="D125" s="30">
        <v>1296000</v>
      </c>
      <c r="E125" s="31">
        <v>1300000</v>
      </c>
      <c r="F125" s="31">
        <v>1410000</v>
      </c>
      <c r="G125" s="31">
        <f t="shared" si="18"/>
        <v>804130</v>
      </c>
      <c r="H125" s="31">
        <v>0</v>
      </c>
      <c r="I125" s="31">
        <v>0</v>
      </c>
      <c r="J125" s="31">
        <v>0</v>
      </c>
      <c r="K125" s="31">
        <v>804130</v>
      </c>
      <c r="L125" s="31">
        <f t="shared" si="19"/>
        <v>57.03049645390071</v>
      </c>
      <c r="M125" s="26">
        <f t="shared" si="20"/>
        <v>0</v>
      </c>
    </row>
    <row r="126" spans="1:13" s="1" customFormat="1" ht="12.75">
      <c r="A126" s="32"/>
      <c r="B126" s="32">
        <v>92116</v>
      </c>
      <c r="C126" s="29" t="s">
        <v>144</v>
      </c>
      <c r="D126" s="30">
        <v>1881000</v>
      </c>
      <c r="E126" s="31">
        <v>1650000</v>
      </c>
      <c r="F126" s="31">
        <v>1950000</v>
      </c>
      <c r="G126" s="31">
        <f t="shared" si="18"/>
        <v>924900</v>
      </c>
      <c r="H126" s="31">
        <v>0</v>
      </c>
      <c r="I126" s="31">
        <v>0</v>
      </c>
      <c r="J126" s="31">
        <v>0</v>
      </c>
      <c r="K126" s="31">
        <v>924900</v>
      </c>
      <c r="L126" s="31">
        <f t="shared" si="19"/>
        <v>47.43076923076923</v>
      </c>
      <c r="M126" s="26">
        <f t="shared" si="20"/>
        <v>0</v>
      </c>
    </row>
    <row r="127" spans="1:13" s="1" customFormat="1" ht="12.75">
      <c r="A127" s="32"/>
      <c r="B127" s="32">
        <v>92118</v>
      </c>
      <c r="C127" s="29" t="s">
        <v>145</v>
      </c>
      <c r="D127" s="30">
        <v>38000</v>
      </c>
      <c r="E127" s="31">
        <v>300000</v>
      </c>
      <c r="F127" s="31">
        <v>490000</v>
      </c>
      <c r="G127" s="31">
        <f t="shared" si="18"/>
        <v>150000</v>
      </c>
      <c r="H127" s="31">
        <v>0</v>
      </c>
      <c r="I127" s="31">
        <v>0</v>
      </c>
      <c r="J127" s="31">
        <v>0</v>
      </c>
      <c r="K127" s="31">
        <v>150000</v>
      </c>
      <c r="L127" s="31">
        <f t="shared" si="19"/>
        <v>30.612244897959183</v>
      </c>
      <c r="M127" s="26">
        <f t="shared" si="20"/>
        <v>0</v>
      </c>
    </row>
    <row r="128" spans="1:13" s="1" customFormat="1" ht="12.75">
      <c r="A128" s="32"/>
      <c r="B128" s="32">
        <v>92120</v>
      </c>
      <c r="C128" s="29" t="s">
        <v>146</v>
      </c>
      <c r="D128" s="30">
        <v>68411</v>
      </c>
      <c r="E128" s="31">
        <v>180000</v>
      </c>
      <c r="F128" s="31">
        <v>180000</v>
      </c>
      <c r="G128" s="31">
        <f t="shared" si="18"/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f t="shared" si="19"/>
        <v>0</v>
      </c>
      <c r="M128" s="26">
        <f t="shared" si="20"/>
        <v>0</v>
      </c>
    </row>
    <row r="129" spans="1:13" s="1" customFormat="1" ht="12.75">
      <c r="A129" s="32"/>
      <c r="B129" s="32">
        <v>92195</v>
      </c>
      <c r="C129" s="29" t="s">
        <v>23</v>
      </c>
      <c r="D129" s="30">
        <v>344300</v>
      </c>
      <c r="E129" s="31">
        <v>184300</v>
      </c>
      <c r="F129" s="31">
        <f>389300-5000</f>
        <v>384300</v>
      </c>
      <c r="G129" s="31">
        <f t="shared" si="18"/>
        <v>205914.14</v>
      </c>
      <c r="H129" s="31">
        <v>0</v>
      </c>
      <c r="I129" s="31">
        <f>15724.76+833.5+189355.88</f>
        <v>205914.14</v>
      </c>
      <c r="J129" s="31">
        <v>0</v>
      </c>
      <c r="K129" s="31">
        <v>0</v>
      </c>
      <c r="L129" s="31">
        <f t="shared" si="19"/>
        <v>53.581613322924795</v>
      </c>
      <c r="M129" s="26">
        <f t="shared" si="20"/>
        <v>0</v>
      </c>
    </row>
    <row r="130" spans="1:13" s="1" customFormat="1" ht="12.75">
      <c r="A130" s="45" t="s">
        <v>147</v>
      </c>
      <c r="B130" s="45"/>
      <c r="C130" s="34" t="s">
        <v>148</v>
      </c>
      <c r="D130" s="24">
        <v>7994016</v>
      </c>
      <c r="E130" s="25">
        <f>SUM(E131:E132)</f>
        <v>4546000</v>
      </c>
      <c r="F130" s="25">
        <f aca="true" t="shared" si="26" ref="F130:K130">SUM(F131:F132)</f>
        <v>5856623</v>
      </c>
      <c r="G130" s="25">
        <f t="shared" si="26"/>
        <v>2272274.81</v>
      </c>
      <c r="H130" s="25">
        <f t="shared" si="26"/>
        <v>0</v>
      </c>
      <c r="I130" s="25">
        <f t="shared" si="26"/>
        <v>471472.81</v>
      </c>
      <c r="J130" s="25">
        <f t="shared" si="26"/>
        <v>16500</v>
      </c>
      <c r="K130" s="25">
        <f t="shared" si="26"/>
        <v>1784302</v>
      </c>
      <c r="L130" s="25">
        <f t="shared" si="19"/>
        <v>38.79837937323266</v>
      </c>
      <c r="M130" s="26">
        <f t="shared" si="20"/>
        <v>0</v>
      </c>
    </row>
    <row r="131" spans="1:13" s="1" customFormat="1" ht="12.75">
      <c r="A131" s="40"/>
      <c r="B131" s="40">
        <v>92601</v>
      </c>
      <c r="C131" s="29" t="s">
        <v>149</v>
      </c>
      <c r="D131" s="30">
        <v>6012537</v>
      </c>
      <c r="E131" s="31">
        <v>300000</v>
      </c>
      <c r="F131" s="31">
        <v>560000</v>
      </c>
      <c r="G131" s="31">
        <f t="shared" si="18"/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f t="shared" si="19"/>
        <v>0</v>
      </c>
      <c r="M131" s="26">
        <f t="shared" si="20"/>
        <v>0</v>
      </c>
    </row>
    <row r="132" spans="1:13" s="1" customFormat="1" ht="12.75">
      <c r="A132" s="46"/>
      <c r="B132" s="46">
        <v>92695</v>
      </c>
      <c r="C132" s="47" t="s">
        <v>23</v>
      </c>
      <c r="D132" s="48">
        <v>1981479</v>
      </c>
      <c r="E132" s="49">
        <v>4246000</v>
      </c>
      <c r="F132" s="49">
        <v>5296623</v>
      </c>
      <c r="G132" s="31">
        <f t="shared" si="18"/>
        <v>2272274.81</v>
      </c>
      <c r="H132" s="49">
        <v>0</v>
      </c>
      <c r="I132" s="49">
        <f>5266.58+466206.23</f>
        <v>471472.81</v>
      </c>
      <c r="J132" s="49">
        <v>16500</v>
      </c>
      <c r="K132" s="49">
        <v>1784302</v>
      </c>
      <c r="L132" s="49">
        <f t="shared" si="19"/>
        <v>42.90044449076326</v>
      </c>
      <c r="M132" s="26">
        <f t="shared" si="20"/>
        <v>0</v>
      </c>
    </row>
    <row r="133" spans="1:13" ht="17.25" customHeight="1">
      <c r="A133" s="50" t="s">
        <v>150</v>
      </c>
      <c r="B133" s="50"/>
      <c r="C133" s="50"/>
      <c r="D133" s="51">
        <v>139498560</v>
      </c>
      <c r="E133" s="52">
        <f>SUM(E10:E132)/2</f>
        <v>188020581</v>
      </c>
      <c r="F133" s="52">
        <f aca="true" t="shared" si="27" ref="F133:K133">SUM(F10:F132)/2</f>
        <v>203512154</v>
      </c>
      <c r="G133" s="52">
        <f t="shared" si="27"/>
        <v>84124274.75000003</v>
      </c>
      <c r="H133" s="52">
        <f t="shared" si="27"/>
        <v>37948924.95</v>
      </c>
      <c r="I133" s="52">
        <f t="shared" si="27"/>
        <v>30760943.909999996</v>
      </c>
      <c r="J133" s="52">
        <f t="shared" si="27"/>
        <v>7741845.759999999</v>
      </c>
      <c r="K133" s="52">
        <f t="shared" si="27"/>
        <v>7672560.13</v>
      </c>
      <c r="L133" s="53">
        <f t="shared" si="19"/>
        <v>41.33624115147444</v>
      </c>
      <c r="M133" s="26">
        <f t="shared" si="20"/>
        <v>3.166496753692627E-08</v>
      </c>
    </row>
    <row r="134" spans="1:13" ht="12.75" customHeight="1">
      <c r="A134" s="54" t="s">
        <v>151</v>
      </c>
      <c r="B134" s="54"/>
      <c r="C134" s="54"/>
      <c r="D134" s="55">
        <v>3630000</v>
      </c>
      <c r="E134" s="56">
        <f aca="true" t="shared" si="28" ref="E134:K134">SUM(E135:E135)</f>
        <v>5339710</v>
      </c>
      <c r="F134" s="56">
        <f t="shared" si="28"/>
        <v>5339710</v>
      </c>
      <c r="G134" s="56">
        <f t="shared" si="28"/>
        <v>2556712.99</v>
      </c>
      <c r="H134" s="56">
        <f t="shared" si="28"/>
        <v>0</v>
      </c>
      <c r="I134" s="56">
        <f t="shared" si="28"/>
        <v>2556712.99</v>
      </c>
      <c r="J134" s="56">
        <f t="shared" si="28"/>
        <v>0</v>
      </c>
      <c r="K134" s="56">
        <f t="shared" si="28"/>
        <v>0</v>
      </c>
      <c r="L134" s="57">
        <f t="shared" si="19"/>
        <v>47.881120697565976</v>
      </c>
      <c r="M134" s="26">
        <f t="shared" si="20"/>
        <v>0</v>
      </c>
    </row>
    <row r="135" spans="1:13" s="1" customFormat="1" ht="12.75">
      <c r="A135" s="58" t="s">
        <v>152</v>
      </c>
      <c r="B135" s="58"/>
      <c r="C135" s="47" t="s">
        <v>153</v>
      </c>
      <c r="D135" s="59">
        <v>3630000</v>
      </c>
      <c r="E135" s="49">
        <v>5339710</v>
      </c>
      <c r="F135" s="49">
        <v>5339710</v>
      </c>
      <c r="G135" s="49">
        <f>SUM(H135:K135)</f>
        <v>2556712.99</v>
      </c>
      <c r="H135" s="49">
        <v>0</v>
      </c>
      <c r="I135" s="49">
        <v>2556712.99</v>
      </c>
      <c r="J135" s="49">
        <v>0</v>
      </c>
      <c r="K135" s="49">
        <v>0</v>
      </c>
      <c r="L135" s="49">
        <f t="shared" si="19"/>
        <v>47.881120697565976</v>
      </c>
      <c r="M135" s="26">
        <f t="shared" si="20"/>
        <v>0</v>
      </c>
    </row>
    <row r="136" spans="1:13" ht="20.25" customHeight="1">
      <c r="A136" s="60" t="s">
        <v>154</v>
      </c>
      <c r="B136" s="60"/>
      <c r="C136" s="60"/>
      <c r="D136" s="51">
        <v>143128560</v>
      </c>
      <c r="E136" s="52">
        <f>SUM(E133:E134)</f>
        <v>193360291</v>
      </c>
      <c r="F136" s="52">
        <f aca="true" t="shared" si="29" ref="F136:K136">SUM(F133:F134)</f>
        <v>208851864</v>
      </c>
      <c r="G136" s="52">
        <f t="shared" si="29"/>
        <v>86680987.74000002</v>
      </c>
      <c r="H136" s="52">
        <f t="shared" si="29"/>
        <v>37948924.95</v>
      </c>
      <c r="I136" s="52">
        <f t="shared" si="29"/>
        <v>33317656.9</v>
      </c>
      <c r="J136" s="52">
        <f t="shared" si="29"/>
        <v>7741845.759999999</v>
      </c>
      <c r="K136" s="52">
        <f t="shared" si="29"/>
        <v>7672560.13</v>
      </c>
      <c r="L136" s="53">
        <f t="shared" si="19"/>
        <v>41.50357391112392</v>
      </c>
      <c r="M136" s="26">
        <f t="shared" si="20"/>
        <v>0</v>
      </c>
    </row>
    <row r="137" spans="1:12" ht="12.75">
      <c r="A137" s="2"/>
      <c r="B137" s="2"/>
      <c r="C137" s="9"/>
      <c r="D137" s="61">
        <f>153879332-8609335-3770713-1994724-6000</f>
        <v>139498560</v>
      </c>
      <c r="E137" s="62"/>
      <c r="F137" s="62"/>
      <c r="G137" s="62"/>
      <c r="H137" s="62"/>
      <c r="I137" s="62"/>
      <c r="J137" s="63"/>
      <c r="K137" s="63"/>
      <c r="L137" s="63"/>
    </row>
    <row r="138" spans="1:12" ht="12.75">
      <c r="A138" s="9"/>
      <c r="B138" s="9"/>
      <c r="C138" s="9"/>
      <c r="D138" s="61">
        <f>D137-D133</f>
        <v>0</v>
      </c>
      <c r="E138" s="62"/>
      <c r="F138" s="62">
        <f>228506500-4299364-1974434-110000-17365346-709632-27000-466570-37000-5000</f>
        <v>203512154</v>
      </c>
      <c r="G138" s="62">
        <f>94737448.64-1305021.93-308053.04-6474245.62-2287209.47-16077.75-214516.78-8049.3</f>
        <v>84124274.74999999</v>
      </c>
      <c r="H138" s="62"/>
      <c r="I138" s="62"/>
      <c r="J138" s="63"/>
      <c r="K138" s="63"/>
      <c r="L138" s="64"/>
    </row>
    <row r="139" spans="1:12" ht="12.75">
      <c r="A139" s="9"/>
      <c r="B139" s="9"/>
      <c r="C139" s="9"/>
      <c r="D139" s="61"/>
      <c r="E139" s="62"/>
      <c r="F139" s="62">
        <f>F138-F133</f>
        <v>0</v>
      </c>
      <c r="G139" s="62">
        <f>G138-G133</f>
        <v>0</v>
      </c>
      <c r="H139" s="62"/>
      <c r="I139" s="62"/>
      <c r="J139" s="63"/>
      <c r="K139" s="63"/>
      <c r="L139" s="64"/>
    </row>
    <row r="140" spans="1:12" ht="12.75">
      <c r="A140" s="9"/>
      <c r="B140" s="9"/>
      <c r="C140" s="9"/>
      <c r="D140" s="61"/>
      <c r="E140" s="62"/>
      <c r="F140" s="62"/>
      <c r="G140" s="62"/>
      <c r="H140" s="62"/>
      <c r="I140" s="62"/>
      <c r="J140" s="63"/>
      <c r="K140" s="63"/>
      <c r="L140" s="64"/>
    </row>
    <row r="141" spans="1:12" ht="12.75">
      <c r="A141" s="9"/>
      <c r="B141" s="9"/>
      <c r="C141" s="9"/>
      <c r="D141" s="61"/>
      <c r="E141" s="62"/>
      <c r="F141" s="62"/>
      <c r="G141" s="62"/>
      <c r="H141" s="62"/>
      <c r="I141" s="62"/>
      <c r="J141" s="63"/>
      <c r="K141" s="63"/>
      <c r="L141" s="64"/>
    </row>
    <row r="142" spans="1:12" ht="12.75">
      <c r="A142" s="9"/>
      <c r="B142" s="9"/>
      <c r="C142" s="9"/>
      <c r="D142" s="61"/>
      <c r="E142" s="62"/>
      <c r="F142" s="62"/>
      <c r="G142" s="62"/>
      <c r="H142" s="62"/>
      <c r="I142" s="62"/>
      <c r="J142" s="63"/>
      <c r="K142" s="63"/>
      <c r="L142" s="63"/>
    </row>
    <row r="143" spans="1:12" ht="12.75">
      <c r="A143" s="9"/>
      <c r="B143" s="9"/>
      <c r="C143" s="9"/>
      <c r="D143" s="61"/>
      <c r="E143" s="62"/>
      <c r="F143" s="62"/>
      <c r="G143" s="62"/>
      <c r="H143" s="62"/>
      <c r="I143" s="62"/>
      <c r="J143" s="63"/>
      <c r="K143" s="63"/>
      <c r="L143" s="63"/>
    </row>
    <row r="144" spans="1:12" ht="12.75">
      <c r="A144" s="9"/>
      <c r="B144" s="9"/>
      <c r="C144" s="9"/>
      <c r="D144" s="61"/>
      <c r="E144" s="62"/>
      <c r="F144" s="62"/>
      <c r="G144" s="62"/>
      <c r="H144" s="62"/>
      <c r="I144" s="62"/>
      <c r="J144" s="63"/>
      <c r="K144" s="63"/>
      <c r="L144" s="63"/>
    </row>
    <row r="145" spans="1:12" ht="12.75">
      <c r="A145" s="9"/>
      <c r="B145" s="9"/>
      <c r="C145" s="9"/>
      <c r="D145" s="61"/>
      <c r="E145" s="62"/>
      <c r="F145" s="62"/>
      <c r="G145" s="62"/>
      <c r="H145" s="62"/>
      <c r="I145" s="62"/>
      <c r="J145" s="63"/>
      <c r="K145" s="63"/>
      <c r="L145" s="63"/>
    </row>
    <row r="146" spans="1:12" ht="12.75">
      <c r="A146" s="9"/>
      <c r="B146" s="9"/>
      <c r="C146" s="9"/>
      <c r="D146" s="61"/>
      <c r="E146" s="62"/>
      <c r="F146" s="62"/>
      <c r="G146" s="62"/>
      <c r="H146" s="62"/>
      <c r="I146" s="62"/>
      <c r="J146" s="63"/>
      <c r="K146" s="63"/>
      <c r="L146" s="63"/>
    </row>
    <row r="147" spans="1:12" ht="12.75">
      <c r="A147" s="9"/>
      <c r="B147" s="9"/>
      <c r="C147" s="9"/>
      <c r="D147" s="61"/>
      <c r="E147" s="62"/>
      <c r="F147" s="62"/>
      <c r="G147" s="62"/>
      <c r="H147" s="62"/>
      <c r="I147" s="62"/>
      <c r="J147" s="63"/>
      <c r="K147" s="63"/>
      <c r="L147" s="63"/>
    </row>
    <row r="148" spans="4:12" ht="12.75">
      <c r="D148" s="65"/>
      <c r="E148" s="66"/>
      <c r="F148" s="66"/>
      <c r="G148" s="66"/>
      <c r="H148" s="66"/>
      <c r="I148" s="66"/>
      <c r="J148" s="67"/>
      <c r="K148" s="67"/>
      <c r="L148" s="67"/>
    </row>
    <row r="149" spans="4:12" ht="12.75">
      <c r="D149" s="65"/>
      <c r="E149" s="66"/>
      <c r="F149" s="66"/>
      <c r="G149" s="66"/>
      <c r="H149" s="66"/>
      <c r="I149" s="66"/>
      <c r="J149" s="67"/>
      <c r="K149" s="67"/>
      <c r="L149" s="67"/>
    </row>
    <row r="150" spans="4:12" ht="12.75">
      <c r="D150" s="65"/>
      <c r="E150" s="66"/>
      <c r="F150" s="66"/>
      <c r="G150" s="66"/>
      <c r="H150" s="66"/>
      <c r="I150" s="66"/>
      <c r="J150" s="67"/>
      <c r="K150" s="67"/>
      <c r="L150" s="67"/>
    </row>
    <row r="151" spans="4:12" ht="12.75">
      <c r="D151" s="65"/>
      <c r="E151" s="66"/>
      <c r="F151" s="66"/>
      <c r="G151" s="66"/>
      <c r="H151" s="66"/>
      <c r="I151" s="66"/>
      <c r="J151" s="67"/>
      <c r="K151" s="67"/>
      <c r="L151" s="67"/>
    </row>
    <row r="152" spans="4:12" ht="12.75">
      <c r="D152" s="65"/>
      <c r="E152" s="66"/>
      <c r="F152" s="66"/>
      <c r="G152" s="66"/>
      <c r="H152" s="66"/>
      <c r="I152" s="66"/>
      <c r="J152" s="67"/>
      <c r="K152" s="67"/>
      <c r="L152" s="67"/>
    </row>
    <row r="153" spans="5:12" ht="12.75">
      <c r="E153" s="66"/>
      <c r="F153" s="66"/>
      <c r="G153" s="66"/>
      <c r="H153" s="66"/>
      <c r="I153" s="66"/>
      <c r="J153" s="67"/>
      <c r="K153" s="67"/>
      <c r="L153" s="67"/>
    </row>
    <row r="154" spans="5:12" ht="12.75">
      <c r="E154" s="66"/>
      <c r="F154" s="66"/>
      <c r="G154" s="66"/>
      <c r="H154" s="66"/>
      <c r="I154" s="66"/>
      <c r="J154" s="67"/>
      <c r="K154" s="67"/>
      <c r="L154" s="67"/>
    </row>
    <row r="155" spans="5:12" ht="12.75">
      <c r="E155" s="66"/>
      <c r="F155" s="66"/>
      <c r="G155" s="66"/>
      <c r="H155" s="66"/>
      <c r="I155" s="66"/>
      <c r="J155" s="67"/>
      <c r="K155" s="67"/>
      <c r="L155" s="67"/>
    </row>
    <row r="156" spans="5:12" ht="12.75">
      <c r="E156" s="66"/>
      <c r="F156" s="66"/>
      <c r="G156" s="66"/>
      <c r="H156" s="66"/>
      <c r="I156" s="66"/>
      <c r="J156" s="67"/>
      <c r="K156" s="67"/>
      <c r="L156" s="67"/>
    </row>
    <row r="157" spans="5:12" ht="12.75">
      <c r="E157" s="66"/>
      <c r="F157" s="66"/>
      <c r="G157" s="66"/>
      <c r="H157" s="66"/>
      <c r="I157" s="66"/>
      <c r="J157" s="67"/>
      <c r="K157" s="67"/>
      <c r="L157" s="67"/>
    </row>
    <row r="158" spans="5:12" ht="12.75">
      <c r="E158" s="66"/>
      <c r="F158" s="66"/>
      <c r="G158" s="66"/>
      <c r="H158" s="66"/>
      <c r="I158" s="66"/>
      <c r="J158" s="67"/>
      <c r="K158" s="67"/>
      <c r="L158" s="67"/>
    </row>
    <row r="159" ht="12.75">
      <c r="L159" s="67"/>
    </row>
    <row r="160" ht="12.75">
      <c r="L160" s="67"/>
    </row>
    <row r="161" ht="12.75">
      <c r="L161" s="67"/>
    </row>
    <row r="162" ht="12.75">
      <c r="L162" s="67"/>
    </row>
    <row r="163" ht="12.75">
      <c r="L163" s="67"/>
    </row>
    <row r="164" ht="12.75">
      <c r="L164" s="67"/>
    </row>
    <row r="165" ht="12.75">
      <c r="L165" s="67"/>
    </row>
    <row r="166" ht="12.75">
      <c r="L166" s="67"/>
    </row>
    <row r="167" ht="12.75">
      <c r="L167" s="67"/>
    </row>
    <row r="168" ht="12.75">
      <c r="L168" s="67"/>
    </row>
    <row r="169" ht="12.75">
      <c r="L169" s="67"/>
    </row>
    <row r="170" ht="12.75">
      <c r="L170" s="67"/>
    </row>
    <row r="171" ht="12.75">
      <c r="L171" s="67"/>
    </row>
    <row r="172" ht="12.75">
      <c r="L172" s="67"/>
    </row>
    <row r="173" ht="12.75">
      <c r="L173" s="67"/>
    </row>
    <row r="174" ht="12.75">
      <c r="L174" s="67"/>
    </row>
    <row r="175" ht="12.75">
      <c r="L175" s="67"/>
    </row>
    <row r="176" ht="12.75">
      <c r="L176" s="67"/>
    </row>
    <row r="177" ht="12.75">
      <c r="L177" s="67"/>
    </row>
    <row r="178" ht="12.75">
      <c r="L178" s="67"/>
    </row>
    <row r="179" ht="12.75">
      <c r="L179" s="67"/>
    </row>
    <row r="180" ht="12.75">
      <c r="L180" s="67"/>
    </row>
    <row r="181" ht="12.75">
      <c r="L181" s="67"/>
    </row>
    <row r="182" ht="12.75">
      <c r="L182" s="67"/>
    </row>
    <row r="183" ht="12.75">
      <c r="L183" s="67"/>
    </row>
    <row r="184" ht="12.75">
      <c r="L184" s="67"/>
    </row>
    <row r="185" ht="12.75">
      <c r="L185" s="67"/>
    </row>
    <row r="186" ht="12.75">
      <c r="L186" s="67"/>
    </row>
    <row r="187" ht="12.75">
      <c r="L187" s="67"/>
    </row>
    <row r="188" ht="12.75">
      <c r="L188" s="67"/>
    </row>
    <row r="189" ht="12.75">
      <c r="L189" s="67"/>
    </row>
    <row r="190" ht="12.75">
      <c r="L190" s="67"/>
    </row>
    <row r="191" ht="12.75">
      <c r="L191" s="67"/>
    </row>
    <row r="192" ht="12.75">
      <c r="L192" s="67"/>
    </row>
    <row r="193" ht="12.75">
      <c r="L193" s="67"/>
    </row>
    <row r="194" ht="12.75">
      <c r="L194" s="67"/>
    </row>
    <row r="195" ht="12.75">
      <c r="L195" s="67"/>
    </row>
    <row r="196" ht="12.75">
      <c r="L196" s="67"/>
    </row>
    <row r="197" ht="12.75">
      <c r="L197" s="67"/>
    </row>
    <row r="198" ht="12.75">
      <c r="L198" s="67"/>
    </row>
    <row r="199" ht="12.75">
      <c r="L199" s="67"/>
    </row>
    <row r="200" ht="12.75">
      <c r="L200" s="67"/>
    </row>
    <row r="201" ht="12.75">
      <c r="L201" s="67"/>
    </row>
    <row r="202" ht="12.75">
      <c r="L202" s="67"/>
    </row>
    <row r="203" ht="12.75">
      <c r="L203" s="67"/>
    </row>
    <row r="204" ht="12.75">
      <c r="L204" s="67"/>
    </row>
    <row r="205" ht="12.75">
      <c r="L205" s="67"/>
    </row>
    <row r="206" ht="12.75">
      <c r="L206" s="67"/>
    </row>
    <row r="207" ht="12.75">
      <c r="L207" s="67"/>
    </row>
    <row r="208" ht="12.75">
      <c r="L208" s="67"/>
    </row>
    <row r="209" ht="12.75">
      <c r="L209" s="67"/>
    </row>
    <row r="210" ht="12.75">
      <c r="L210" s="67"/>
    </row>
    <row r="211" ht="12.75">
      <c r="L211" s="67"/>
    </row>
    <row r="212" ht="12.75">
      <c r="L212" s="67"/>
    </row>
    <row r="213" ht="12.75">
      <c r="L213" s="67"/>
    </row>
    <row r="214" ht="12.75">
      <c r="L214" s="67"/>
    </row>
    <row r="215" ht="12.75">
      <c r="L215" s="67"/>
    </row>
    <row r="216" ht="12.75">
      <c r="L216" s="67"/>
    </row>
    <row r="217" ht="12.75">
      <c r="L217" s="67"/>
    </row>
    <row r="218" ht="12.75">
      <c r="L218" s="67"/>
    </row>
    <row r="219" ht="12.75">
      <c r="L219" s="67"/>
    </row>
    <row r="220" ht="12.75">
      <c r="L220" s="67"/>
    </row>
    <row r="221" ht="12.75">
      <c r="L221" s="67"/>
    </row>
    <row r="222" ht="12.75">
      <c r="L222" s="67"/>
    </row>
    <row r="223" ht="12.75">
      <c r="L223" s="67"/>
    </row>
    <row r="224" ht="12.75">
      <c r="L224" s="67"/>
    </row>
    <row r="225" ht="12.75">
      <c r="L225" s="67"/>
    </row>
    <row r="226" ht="12.75">
      <c r="L226" s="67"/>
    </row>
    <row r="227" ht="12.75">
      <c r="L227" s="67"/>
    </row>
    <row r="228" ht="12.75">
      <c r="L228" s="67"/>
    </row>
    <row r="229" ht="12.75">
      <c r="L229" s="67"/>
    </row>
    <row r="230" ht="12.75">
      <c r="L230" s="67"/>
    </row>
    <row r="231" ht="12.75">
      <c r="L231" s="67"/>
    </row>
    <row r="232" ht="12.75">
      <c r="L232" s="67"/>
    </row>
    <row r="233" ht="12.75">
      <c r="L233" s="67"/>
    </row>
    <row r="234" ht="12.75">
      <c r="L234" s="67"/>
    </row>
    <row r="235" ht="12.75">
      <c r="L235" s="67"/>
    </row>
    <row r="236" ht="12.75">
      <c r="L236" s="67"/>
    </row>
    <row r="237" ht="12.75">
      <c r="L237" s="67"/>
    </row>
    <row r="238" ht="12.75">
      <c r="L238" s="67"/>
    </row>
    <row r="239" ht="12.75">
      <c r="L239" s="67"/>
    </row>
    <row r="240" ht="12.75">
      <c r="L240" s="67"/>
    </row>
    <row r="241" ht="12.75">
      <c r="L241" s="67"/>
    </row>
    <row r="242" ht="12.75">
      <c r="L242" s="67"/>
    </row>
    <row r="243" ht="12.75">
      <c r="L243" s="67"/>
    </row>
    <row r="244" ht="12.75">
      <c r="L244" s="67"/>
    </row>
    <row r="245" ht="12.75">
      <c r="L245" s="67"/>
    </row>
    <row r="246" ht="12.75">
      <c r="L246" s="67"/>
    </row>
    <row r="247" ht="12.75">
      <c r="L247" s="67"/>
    </row>
    <row r="248" ht="12.75">
      <c r="L248" s="67"/>
    </row>
    <row r="249" ht="12.75">
      <c r="L249" s="67"/>
    </row>
    <row r="250" ht="12.75">
      <c r="L250" s="67"/>
    </row>
    <row r="251" ht="12.75">
      <c r="L251" s="67"/>
    </row>
    <row r="252" ht="12.75">
      <c r="L252" s="67"/>
    </row>
    <row r="253" ht="12.75">
      <c r="L253" s="67"/>
    </row>
    <row r="254" ht="12.75">
      <c r="L254" s="67"/>
    </row>
    <row r="255" ht="12.75">
      <c r="L255" s="67"/>
    </row>
    <row r="256" ht="12.75">
      <c r="L256" s="67"/>
    </row>
    <row r="257" ht="12.75">
      <c r="L257" s="67"/>
    </row>
    <row r="258" ht="12.75">
      <c r="L258" s="67"/>
    </row>
    <row r="259" ht="12.75">
      <c r="L259" s="67"/>
    </row>
    <row r="260" ht="12.75">
      <c r="L260" s="67"/>
    </row>
    <row r="261" ht="12.75">
      <c r="L261" s="67"/>
    </row>
    <row r="262" ht="12.75">
      <c r="L262" s="67"/>
    </row>
    <row r="263" ht="12.75">
      <c r="L263" s="67"/>
    </row>
    <row r="264" ht="12.75">
      <c r="L264" s="67"/>
    </row>
    <row r="265" ht="12.75">
      <c r="L265" s="67"/>
    </row>
    <row r="266" ht="12.75">
      <c r="L266" s="67"/>
    </row>
    <row r="267" ht="12.75">
      <c r="L267" s="67"/>
    </row>
  </sheetData>
  <sheetProtection selectLockedCells="1" selectUnlockedCells="1"/>
  <mergeCells count="19">
    <mergeCell ref="K1:L1"/>
    <mergeCell ref="J2:K2"/>
    <mergeCell ref="A3:L3"/>
    <mergeCell ref="A4:L4"/>
    <mergeCell ref="A5:L5"/>
    <mergeCell ref="K6:L6"/>
    <mergeCell ref="A7:A8"/>
    <mergeCell ref="B7:B8"/>
    <mergeCell ref="C7:C8"/>
    <mergeCell ref="D7:D8"/>
    <mergeCell ref="E7:E8"/>
    <mergeCell ref="F7:F8"/>
    <mergeCell ref="G7:G8"/>
    <mergeCell ref="H7:K7"/>
    <mergeCell ref="L7:L8"/>
    <mergeCell ref="A133:C133"/>
    <mergeCell ref="A134:C134"/>
    <mergeCell ref="A135:B135"/>
    <mergeCell ref="A136:C136"/>
  </mergeCells>
  <printOptions/>
  <pageMargins left="0.3902777777777778" right="0.4597222222222222" top="0.3902777777777778" bottom="0.49027777777777776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miasta 2002</dc:title>
  <dc:subject>Budżet 2002</dc:subject>
  <dc:creator>Monika Kobielska</dc:creator>
  <cp:keywords/>
  <dc:description/>
  <cp:lastModifiedBy>Olejnik Magdalena</cp:lastModifiedBy>
  <cp:lastPrinted>2006-08-16T11:19:28Z</cp:lastPrinted>
  <dcterms:created xsi:type="dcterms:W3CDTF">2000-09-27T10:14:28Z</dcterms:created>
  <dcterms:modified xsi:type="dcterms:W3CDTF">2006-08-16T11:20:09Z</dcterms:modified>
  <cp:category/>
  <cp:version/>
  <cp:contentType/>
  <cp:contentStatus/>
  <cp:revision>2</cp:revision>
</cp:coreProperties>
</file>