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activeTab="0"/>
  </bookViews>
  <sheets>
    <sheet name="Zał. Nr 1" sheetId="1" r:id="rId1"/>
    <sheet name="Zał. Nr 2" sheetId="2" r:id="rId2"/>
    <sheet name="Zał. Nr 3" sheetId="3" r:id="rId3"/>
  </sheets>
  <definedNames>
    <definedName name="_xlnm.Print_Area" localSheetId="0">'Zał. Nr 1'!$A$1:$F$32</definedName>
    <definedName name="_xlnm.Print_Area" localSheetId="1">'Zał. Nr 2'!$A$1:$H$55</definedName>
    <definedName name="_xlnm.Print_Area" localSheetId="2">'Zał. Nr 3'!$A$1:$F$51</definedName>
    <definedName name="Z_991C3CC7_DFCA_4B08_B367_9AF5C00447ED_.wvu.Cols">'Zał. Nr 3'!#REF!</definedName>
  </definedNames>
  <calcPr fullCalcOnLoad="1"/>
</workbook>
</file>

<file path=xl/sharedStrings.xml><?xml version="1.0" encoding="utf-8"?>
<sst xmlns="http://schemas.openxmlformats.org/spreadsheetml/2006/main" count="181" uniqueCount="165">
  <si>
    <t xml:space="preserve">                                                                              Załącznik Nr 1</t>
  </si>
  <si>
    <t>ZESTAWIENIE ZBIORCZE BUDŻETU MIASTA MYSŁOWICE</t>
  </si>
  <si>
    <t>na dzień 30.06.2006 roku</t>
  </si>
  <si>
    <t>(w złotych)</t>
  </si>
  <si>
    <t>Lp.</t>
  </si>
  <si>
    <t>W y s z c z e g ó l n i e n i e</t>
  </si>
  <si>
    <t>Plan wg URM LVII/569/05</t>
  </si>
  <si>
    <t>Plan
(po zmianach)</t>
  </si>
  <si>
    <t>Wykonanie na dzień 30.06.06 r.</t>
  </si>
  <si>
    <t>%
(5:4)</t>
  </si>
  <si>
    <t>I.</t>
  </si>
  <si>
    <t>D O C H O D Y   O G Ó Ł E M</t>
  </si>
  <si>
    <t>Budżet samorządowy</t>
  </si>
  <si>
    <t>Część równoważąca subwencji ogólnej dla powiatu</t>
  </si>
  <si>
    <t>Część równoważąca subwencji ogólnej dla gminy</t>
  </si>
  <si>
    <t>Część oświatowa subwencji ogólnej dla powiatu</t>
  </si>
  <si>
    <t>Część oświatowa subwencji ogólnej dla gminy</t>
  </si>
  <si>
    <t>Część rekompensująca subwencji ogólnej dla gminy</t>
  </si>
  <si>
    <t>Dotacje celowe na zadania zlecone gminie</t>
  </si>
  <si>
    <t>Dotacje celowe na zadania zlecone powiatowi</t>
  </si>
  <si>
    <t>Dotacje celowe na zadania własne powiatu</t>
  </si>
  <si>
    <t>Dotacje celowe na zadania realizowane na podstawie porozumień</t>
  </si>
  <si>
    <t>Dotacje celowe na zadania własne gminy</t>
  </si>
  <si>
    <t xml:space="preserve">II. </t>
  </si>
  <si>
    <t>PRZYCHODY</t>
  </si>
  <si>
    <t>Kredyty bankowe komercyjne</t>
  </si>
  <si>
    <t>Pożyczka</t>
  </si>
  <si>
    <t>Wole środki obrotowe</t>
  </si>
  <si>
    <t>III.</t>
  </si>
  <si>
    <t>W Y D A T K I  O G Ó Ł E M</t>
  </si>
  <si>
    <t>Zadania zlecone gminie</t>
  </si>
  <si>
    <t>Zadania zlecone powiatowi</t>
  </si>
  <si>
    <t>Zadania własne powiatu</t>
  </si>
  <si>
    <t>Zadania realizowane na podstawie porozumień</t>
  </si>
  <si>
    <t>Zadania własne gminy</t>
  </si>
  <si>
    <t>IV.</t>
  </si>
  <si>
    <t>ROZCHODY BUDŻETU MIASTA</t>
  </si>
  <si>
    <t>Spłata kredytów</t>
  </si>
  <si>
    <t>Spłata pożyczek</t>
  </si>
  <si>
    <t>zgodne z NDS</t>
  </si>
  <si>
    <t xml:space="preserve">                                                                              Załącznik Nr 2                                                                                                                                                                   </t>
  </si>
  <si>
    <t xml:space="preserve"> DOCHODY  I PRZYCHODY</t>
  </si>
  <si>
    <r>
      <t xml:space="preserve">BUDŻETU MIASTA MYSŁOWICE </t>
    </r>
    <r>
      <rPr>
        <sz val="11"/>
        <color indexed="8"/>
        <rFont val="Arial CE"/>
        <family val="2"/>
      </rPr>
      <t>na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dzień 30.06.2006 roku</t>
    </r>
  </si>
  <si>
    <t>wg źródeł powstawania</t>
  </si>
  <si>
    <t>paragraf</t>
  </si>
  <si>
    <t>Ź r ó d ł o</t>
  </si>
  <si>
    <t>%
(4:3)</t>
  </si>
  <si>
    <t>O G Ó Ł E 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</si>
  <si>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</si>
  <si>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</si>
  <si>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</si>
  <si>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</si>
  <si>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</si>
  <si>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</si>
  <si>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</si>
  <si>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</si>
  <si>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</si>
  <si>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</si>
  <si>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</si>
  <si>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</si>
  <si>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</si>
  <si>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</si>
  <si>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</si>
  <si>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</si>
  <si>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</si>
  <si>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 od posiadania psów</t>
  </si>
  <si>
    <t>0410</t>
  </si>
  <si>
    <t>Wpływy z opłaty skarbowej</t>
  </si>
  <si>
    <t>0420</t>
  </si>
  <si>
    <t>Wpływy z opłaty komunikacyjnej</t>
  </si>
  <si>
    <t>0430</t>
  </si>
  <si>
    <t>Wpływy z opłaty targowej</t>
  </si>
  <si>
    <t>0450</t>
  </si>
  <si>
    <t>Wpływy z opłaty administracyjnej za czynności urzędowe</t>
  </si>
  <si>
    <t>0470</t>
  </si>
  <si>
    <t>Wpływy z opłat za zarząd, użytkowanie i użytkowanie wieczyste nieruchomości</t>
  </si>
  <si>
    <t>0480</t>
  </si>
  <si>
    <t>Wpływy z opłat za zezwolenia na sprzedaż alkoholu</t>
  </si>
  <si>
    <t>0500</t>
  </si>
  <si>
    <t>Podatek od czynności cywilnoprawnych</t>
  </si>
  <si>
    <t>0510</t>
  </si>
  <si>
    <t>Wpływy z opłaty eksploatacyjnej od przedsiębiorstw górniczych węgla kamiennego</t>
  </si>
  <si>
    <t>0560</t>
  </si>
  <si>
    <t>Zaległości z podatków zniesionych</t>
  </si>
  <si>
    <t>0570</t>
  </si>
  <si>
    <t xml:space="preserve">Grzywny, mandaty i inne kary pieniężne </t>
  </si>
  <si>
    <t>0690</t>
  </si>
  <si>
    <t>Wpływy z różnych opłat</t>
  </si>
  <si>
    <t>0750</t>
  </si>
  <si>
    <t>Dochody z najmu i dzierżawy składników majątkowych Skarbu Państwa, j.s.t. lub innych jednostek zaliczanych do sektora fin. pub.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</si>
  <si>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</si>
  <si>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</si>
  <si>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</si>
  <si>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</si>
  <si>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</si>
  <si>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</si>
  <si>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0870</t>
  </si>
  <si>
    <t>Wpływy ze sprzedaży składników majątkowych</t>
  </si>
  <si>
    <t>0910</t>
  </si>
  <si>
    <t>Odsetki od nietermin. wpłat z tytułu podatków i opłat</t>
  </si>
  <si>
    <t>0920</t>
  </si>
  <si>
    <t>Pozostałe odsetki</t>
  </si>
  <si>
    <t>0960</t>
  </si>
  <si>
    <t>Otrzymane spadki, zapisy i darowizny w postaci pieniężnej- darowizna od PHU "MAR-GIPS", "LIMA" Sp.z o.o.</t>
  </si>
  <si>
    <t>0970</t>
  </si>
  <si>
    <t>Wpływy z różnych dochodów</t>
  </si>
  <si>
    <t>2020</t>
  </si>
  <si>
    <t>Dotacje celowe otrzymane z budżetu państwa na zadania bieżące realizowane przez gminę na podstawie porozumień z organami administracji rządowej</t>
  </si>
  <si>
    <t>2310</t>
  </si>
  <si>
    <t>Dotacje celowe otrzymane z gminy na zadani bieżące realizowane na podstawie porozumień między j.s.t.</t>
  </si>
  <si>
    <t>2320</t>
  </si>
  <si>
    <t>Dotacje celowe otrzymane z powiatu na zadania bieżące realizowane na podstawie porozumień (umów) międy j.s.t.</t>
  </si>
  <si>
    <t>2360</t>
  </si>
  <si>
    <t>Dochody j.s.t. związane z realizacją zadań z zakresu administracji rządowej oraz innych zadań zleconych ustawami</t>
  </si>
  <si>
    <t>2380</t>
  </si>
  <si>
    <t>Wpływy do budżetu części zysku gospodarstwa pomocniczego</t>
  </si>
  <si>
    <t>2440</t>
  </si>
  <si>
    <t>Dotacje otrzymane z funduszy celowych na realizację zadań bieżących jednostek sektora finansów publicznych</t>
  </si>
  <si>
    <t>2700</t>
  </si>
  <si>
    <t>Środki na dofinansowanie własnych zadań bieżących gmin pozyskanych z innych źródeł- PFRON</t>
  </si>
  <si>
    <t>2701</t>
  </si>
  <si>
    <t>Środki na dofinansowanie własnych zadań bieżących gmin pozyskanych z innych źródeł- PARP</t>
  </si>
  <si>
    <t>2708</t>
  </si>
  <si>
    <t>Środki na dofinansowanie własnych zadań bieżących gmin pozyskanych z innych źródeł- MPiPS</t>
  </si>
  <si>
    <t>2710</t>
  </si>
  <si>
    <t>Wpływy z tytułu pomocy finansowej udzielanej między j.s.t. na dofinansowanie własnych zadań bieżących</t>
  </si>
  <si>
    <t>2690</t>
  </si>
  <si>
    <t>Środki z Funduszu Pracy otrzymane przez powiat z przeznaczeniem na finansowanie kosztów wynagrodzenia i składek na ubezpieczenia społeczne pracowników PUP</t>
  </si>
  <si>
    <t>2980</t>
  </si>
  <si>
    <t>Wpływy do wyjaśnienia</t>
  </si>
  <si>
    <t>6290</t>
  </si>
  <si>
    <t>Środki na dofinansowanie własnych inwwestycji gmin, powiatów pozyskane z innych źródeł- KWK Niwka w upadłości</t>
  </si>
  <si>
    <t>6291</t>
  </si>
  <si>
    <t>Środki na dofinansowanie własnych inwwestycji gmin, powiatów pozyskane z innych źródeł- PARP</t>
  </si>
  <si>
    <t>2920</t>
  </si>
  <si>
    <t xml:space="preserve">Subwencje ogólne z budżetu państwa </t>
  </si>
  <si>
    <t>Dotacje celowe z budżetu państwa</t>
  </si>
  <si>
    <t xml:space="preserve">                                                                                             Załącznik Nr 3</t>
  </si>
  <si>
    <t>DOCHODY WŁASNE I PRZYCHODY</t>
  </si>
  <si>
    <t>BUDŻETU MIASTA MYSŁOWICE</t>
  </si>
  <si>
    <r>
      <t xml:space="preserve">na dzień 30.06.2006 roku 
</t>
    </r>
    <r>
      <rPr>
        <b/>
        <sz val="12"/>
        <color indexed="8"/>
        <rFont val="Arial"/>
        <family val="2"/>
      </rPr>
      <t>wg działów</t>
    </r>
  </si>
  <si>
    <t>Dz.</t>
  </si>
  <si>
    <t>OGÓŁEM</t>
  </si>
  <si>
    <t>600</t>
  </si>
  <si>
    <t>Transport i łączność</t>
  </si>
  <si>
    <t>Wpływ z Urzędu Miasta w Jaworznie</t>
  </si>
  <si>
    <t>020</t>
  </si>
  <si>
    <t>Leśnictwo</t>
  </si>
  <si>
    <t>050</t>
  </si>
  <si>
    <t>Rybołówstwo i rybactwo</t>
  </si>
  <si>
    <t>Gospodarka mieszkaniowa</t>
  </si>
  <si>
    <t>Działalność usługowa</t>
  </si>
  <si>
    <t>Administracja publiczna</t>
  </si>
  <si>
    <t>Bezpieczeństwo publiczne i ochrona przeciwpożarowa</t>
  </si>
  <si>
    <t>Dochody od osób prawnych, od osób fizycznych i od innych jednostek nie posiadających osobowości prawnej oraz wydatki związane z ich poborem</t>
  </si>
  <si>
    <t>Różne rozliczenia</t>
  </si>
  <si>
    <t>Wpłaty do budżetu nadwyżki zakładu pomocniczego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</si>
  <si>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</si>
  <si>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</si>
  <si>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</si>
  <si>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</si>
  <si>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</si>
  <si>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</si>
  <si>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fizyczna i sport</t>
  </si>
  <si>
    <t>Inne dochody (dotacje z WFOŚiGW, NFOŚiGW, Zarządu Województwa Śląskiego i inne)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</si>
</sst>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0.00"/>
    <numFmt numFmtId="168" formatCode="@"/>
    <numFmt numFmtId="169" formatCode="0"/>
    <numFmt numFmtId="170" formatCode="#,##0;[RED]\-#,##0"/>
  </numFmts>
  <fonts count="23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i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2">
    <xf numFmtId="164" fontId="0" fillId="0" borderId="0" xfId="0" applyAlignment="1">
      <alignment/>
    </xf>
    <xf numFmtId="165" fontId="3" fillId="0" borderId="0" xfId="20" applyNumberFormat="1" applyFont="1" applyFill="1" applyBorder="1" applyAlignment="1">
      <alignment horizontal="right" vertical="top" wrapText="1"/>
      <protection/>
    </xf>
    <xf numFmtId="164" fontId="4" fillId="0" borderId="0" xfId="20" applyFont="1" applyBorder="1" applyAlignment="1">
      <alignment horizontal="center" wrapText="1"/>
      <protection/>
    </xf>
    <xf numFmtId="164" fontId="5" fillId="0" borderId="0" xfId="20" applyFont="1" applyBorder="1" applyAlignment="1">
      <alignment horizontal="center" wrapText="1"/>
      <protection/>
    </xf>
    <xf numFmtId="164" fontId="5" fillId="0" borderId="0" xfId="20" applyFont="1">
      <alignment/>
      <protection/>
    </xf>
    <xf numFmtId="164" fontId="6" fillId="0" borderId="1" xfId="20" applyFont="1" applyBorder="1" applyAlignment="1">
      <alignment horizontal="right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7" fillId="0" borderId="2" xfId="0" applyFont="1" applyBorder="1" applyAlignment="1">
      <alignment horizontal="center" vertical="center" wrapText="1"/>
    </xf>
    <xf numFmtId="164" fontId="6" fillId="0" borderId="2" xfId="20" applyFont="1" applyBorder="1" applyAlignment="1">
      <alignment horizontal="center" vertical="center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0" fillId="0" borderId="2" xfId="0" applyBorder="1" applyAlignment="1">
      <alignment horizontal="center"/>
    </xf>
    <xf numFmtId="164" fontId="4" fillId="0" borderId="2" xfId="20" applyFont="1" applyBorder="1" applyAlignment="1">
      <alignment horizontal="left" vertical="center"/>
      <protection/>
    </xf>
    <xf numFmtId="166" fontId="4" fillId="0" borderId="2" xfId="20" applyNumberFormat="1" applyFont="1" applyBorder="1" applyAlignment="1">
      <alignment horizontal="right" vertical="center"/>
      <protection/>
    </xf>
    <xf numFmtId="166" fontId="4" fillId="0" borderId="2" xfId="20" applyNumberFormat="1" applyFont="1" applyBorder="1" applyAlignment="1">
      <alignment vertical="center"/>
      <protection/>
    </xf>
    <xf numFmtId="164" fontId="5" fillId="0" borderId="2" xfId="20" applyFont="1" applyBorder="1" applyAlignment="1">
      <alignment vertical="center"/>
      <protection/>
    </xf>
    <xf numFmtId="167" fontId="5" fillId="0" borderId="2" xfId="20" applyNumberFormat="1" applyFont="1" applyBorder="1" applyAlignment="1">
      <alignment vertical="center" wrapText="1"/>
      <protection/>
    </xf>
    <xf numFmtId="166" fontId="5" fillId="0" borderId="2" xfId="20" applyNumberFormat="1" applyFont="1" applyFill="1" applyBorder="1" applyAlignment="1">
      <alignment vertical="center"/>
      <protection/>
    </xf>
    <xf numFmtId="166" fontId="5" fillId="0" borderId="2" xfId="20" applyNumberFormat="1" applyFont="1" applyBorder="1" applyAlignment="1">
      <alignment horizontal="right" vertical="center"/>
      <protection/>
    </xf>
    <xf numFmtId="165" fontId="0" fillId="0" borderId="0" xfId="0" applyNumberFormat="1" applyAlignment="1">
      <alignment/>
    </xf>
    <xf numFmtId="167" fontId="8" fillId="0" borderId="2" xfId="0" applyNumberFormat="1" applyFont="1" applyFill="1" applyBorder="1" applyAlignment="1">
      <alignment vertical="center" wrapText="1"/>
    </xf>
    <xf numFmtId="166" fontId="9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5" fontId="5" fillId="0" borderId="0" xfId="20" applyNumberFormat="1" applyFont="1" applyFill="1" applyBorder="1" applyAlignment="1">
      <alignment horizontal="right" vertical="center"/>
      <protection/>
    </xf>
    <xf numFmtId="166" fontId="5" fillId="0" borderId="3" xfId="0" applyNumberFormat="1" applyFont="1" applyFill="1" applyBorder="1" applyAlignment="1">
      <alignment vertical="center"/>
    </xf>
    <xf numFmtId="166" fontId="5" fillId="0" borderId="2" xfId="20" applyNumberFormat="1" applyFont="1" applyBorder="1" applyAlignment="1">
      <alignment vertical="center"/>
      <protection/>
    </xf>
    <xf numFmtId="167" fontId="4" fillId="0" borderId="2" xfId="20" applyNumberFormat="1" applyFont="1" applyBorder="1" applyAlignment="1">
      <alignment vertical="center" wrapText="1"/>
      <protection/>
    </xf>
    <xf numFmtId="164" fontId="5" fillId="0" borderId="2" xfId="20" applyFont="1" applyBorder="1" applyAlignment="1">
      <alignment horizontal="center" vertical="center"/>
      <protection/>
    </xf>
    <xf numFmtId="166" fontId="5" fillId="0" borderId="2" xfId="0" applyNumberFormat="1" applyFont="1" applyFill="1" applyBorder="1" applyAlignment="1">
      <alignment vertical="center"/>
    </xf>
    <xf numFmtId="167" fontId="9" fillId="0" borderId="2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horizontal="right" vertical="center"/>
    </xf>
    <xf numFmtId="166" fontId="0" fillId="0" borderId="0" xfId="0" applyNumberFormat="1" applyAlignment="1">
      <alignment/>
    </xf>
    <xf numFmtId="164" fontId="10" fillId="0" borderId="0" xfId="0" applyFont="1" applyFill="1" applyBorder="1" applyAlignment="1">
      <alignment horizontal="right" wrapText="1"/>
    </xf>
    <xf numFmtId="164" fontId="11" fillId="0" borderId="0" xfId="0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right"/>
    </xf>
    <xf numFmtId="164" fontId="12" fillId="0" borderId="2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 textRotation="90"/>
    </xf>
    <xf numFmtId="164" fontId="15" fillId="0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17" fillId="0" borderId="2" xfId="0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Border="1" applyAlignment="1">
      <alignment vertical="center"/>
    </xf>
    <xf numFmtId="165" fontId="0" fillId="0" borderId="2" xfId="0" applyNumberFormat="1" applyBorder="1" applyAlignment="1">
      <alignment/>
    </xf>
    <xf numFmtId="164" fontId="8" fillId="0" borderId="2" xfId="0" applyFont="1" applyFill="1" applyBorder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 wrapText="1"/>
    </xf>
    <xf numFmtId="166" fontId="19" fillId="0" borderId="2" xfId="0" applyNumberFormat="1" applyFont="1" applyFill="1" applyBorder="1" applyAlignment="1">
      <alignment horizontal="right" vertical="center"/>
    </xf>
    <xf numFmtId="164" fontId="8" fillId="0" borderId="2" xfId="0" applyFont="1" applyFill="1" applyBorder="1" applyAlignment="1">
      <alignment vertical="center" wrapText="1"/>
    </xf>
    <xf numFmtId="166" fontId="19" fillId="0" borderId="2" xfId="0" applyNumberFormat="1" applyFont="1" applyFill="1" applyBorder="1" applyAlignment="1">
      <alignment vertical="center"/>
    </xf>
    <xf numFmtId="168" fontId="13" fillId="0" borderId="4" xfId="0" applyNumberFormat="1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vertical="center" wrapText="1"/>
    </xf>
    <xf numFmtId="166" fontId="19" fillId="0" borderId="5" xfId="0" applyNumberFormat="1" applyFont="1" applyFill="1" applyBorder="1" applyAlignment="1">
      <alignment horizontal="right" vertical="center"/>
    </xf>
    <xf numFmtId="166" fontId="5" fillId="0" borderId="5" xfId="0" applyNumberFormat="1" applyFont="1" applyBorder="1" applyAlignment="1">
      <alignment vertical="center"/>
    </xf>
    <xf numFmtId="168" fontId="13" fillId="0" borderId="6" xfId="0" applyNumberFormat="1" applyFont="1" applyFill="1" applyBorder="1" applyAlignment="1">
      <alignment horizontal="center" vertical="center"/>
    </xf>
    <xf numFmtId="168" fontId="13" fillId="0" borderId="7" xfId="0" applyNumberFormat="1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vertical="center" wrapText="1"/>
    </xf>
    <xf numFmtId="166" fontId="19" fillId="0" borderId="8" xfId="0" applyNumberFormat="1" applyFont="1" applyFill="1" applyBorder="1" applyAlignment="1">
      <alignment vertical="center"/>
    </xf>
    <xf numFmtId="166" fontId="5" fillId="0" borderId="8" xfId="0" applyNumberFormat="1" applyFont="1" applyBorder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/>
    </xf>
    <xf numFmtId="166" fontId="19" fillId="0" borderId="5" xfId="0" applyNumberFormat="1" applyFont="1" applyFill="1" applyBorder="1" applyAlignment="1">
      <alignment vertical="center"/>
    </xf>
    <xf numFmtId="164" fontId="4" fillId="0" borderId="2" xfId="20" applyFont="1" applyBorder="1" applyAlignment="1">
      <alignment vertical="center" wrapText="1"/>
      <protection/>
    </xf>
    <xf numFmtId="166" fontId="9" fillId="0" borderId="0" xfId="0" applyNumberFormat="1" applyFont="1" applyAlignment="1">
      <alignment vertical="center"/>
    </xf>
    <xf numFmtId="166" fontId="0" fillId="0" borderId="0" xfId="0" applyNumberFormat="1" applyBorder="1" applyAlignment="1">
      <alignment wrapText="1"/>
    </xf>
    <xf numFmtId="166" fontId="0" fillId="0" borderId="0" xfId="0" applyNumberFormat="1" applyAlignment="1">
      <alignment vertical="center"/>
    </xf>
    <xf numFmtId="165" fontId="10" fillId="0" borderId="0" xfId="0" applyNumberFormat="1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center" vertical="top"/>
    </xf>
    <xf numFmtId="165" fontId="21" fillId="0" borderId="0" xfId="0" applyNumberFormat="1" applyFont="1" applyFill="1" applyBorder="1" applyAlignment="1">
      <alignment horizontal="center" vertical="top" wrapText="1"/>
    </xf>
    <xf numFmtId="164" fontId="22" fillId="0" borderId="1" xfId="0" applyFont="1" applyFill="1" applyBorder="1" applyAlignment="1">
      <alignment horizontal="right" vertical="top"/>
    </xf>
    <xf numFmtId="164" fontId="12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Border="1" applyAlignment="1">
      <alignment vertical="center" wrapText="1"/>
    </xf>
    <xf numFmtId="168" fontId="12" fillId="0" borderId="2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left" vertical="center" wrapText="1"/>
    </xf>
    <xf numFmtId="166" fontId="5" fillId="0" borderId="2" xfId="0" applyNumberFormat="1" applyFont="1" applyBorder="1" applyAlignment="1">
      <alignment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left" vertical="center" wrapText="1"/>
    </xf>
    <xf numFmtId="166" fontId="19" fillId="0" borderId="2" xfId="0" applyNumberFormat="1" applyFont="1" applyFill="1" applyBorder="1" applyAlignment="1">
      <alignment horizontal="right" vertical="center" wrapText="1"/>
    </xf>
    <xf numFmtId="170" fontId="8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8" fontId="8" fillId="0" borderId="2" xfId="0" applyNumberFormat="1" applyFont="1" applyFill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164" fontId="9" fillId="0" borderId="0" xfId="0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0" fillId="0" borderId="0" xfId="0" applyNumberFormat="1" applyFont="1" applyAlignment="1">
      <alignment vertic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63"/>
  <sheetViews>
    <sheetView tabSelected="1" view="pageBreakPreview" zoomScale="80" zoomScaleNormal="89" zoomScaleSheetLayoutView="80" workbookViewId="0" topLeftCell="A17">
      <selection activeCell="B23" sqref="B23"/>
    </sheetView>
  </sheetViews>
  <sheetFormatPr defaultColWidth="9.00390625" defaultRowHeight="12.75"/>
  <cols>
    <col min="1" max="1" width="4.75390625" style="0" customWidth="1"/>
    <col min="2" max="2" width="35.375" style="0" customWidth="1"/>
    <col min="3" max="4" width="15.125" style="0" customWidth="1"/>
    <col min="5" max="5" width="15.25390625" style="0" customWidth="1"/>
    <col min="6" max="6" width="8.00390625" style="0" customWidth="1"/>
    <col min="7" max="7" width="10.875" style="0" customWidth="1"/>
    <col min="8" max="8" width="14.875" style="0" customWidth="1"/>
  </cols>
  <sheetData>
    <row r="1" spans="1:6" ht="13.5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/>
      <c r="C2" s="2"/>
      <c r="D2" s="2"/>
      <c r="E2" s="2"/>
      <c r="F2" s="2"/>
    </row>
    <row r="3" spans="1:6" ht="14.25" customHeight="1">
      <c r="A3" s="3" t="s">
        <v>2</v>
      </c>
      <c r="B3" s="3"/>
      <c r="C3" s="3"/>
      <c r="D3" s="3"/>
      <c r="E3" s="3"/>
      <c r="F3" s="3"/>
    </row>
    <row r="4" spans="1:6" ht="29.25" customHeight="1">
      <c r="A4" s="4"/>
      <c r="B4" s="4"/>
      <c r="E4" s="5" t="s">
        <v>3</v>
      </c>
      <c r="F4" s="5"/>
    </row>
    <row r="5" spans="1:6" ht="54" customHeight="1">
      <c r="A5" s="6" t="s">
        <v>4</v>
      </c>
      <c r="B5" s="6" t="s">
        <v>5</v>
      </c>
      <c r="C5" s="7" t="s">
        <v>6</v>
      </c>
      <c r="D5" s="8" t="s">
        <v>7</v>
      </c>
      <c r="E5" s="8" t="s">
        <v>8</v>
      </c>
      <c r="F5" s="8" t="s">
        <v>9</v>
      </c>
    </row>
    <row r="6" spans="1:6" ht="11.25" customHeight="1">
      <c r="A6" s="9">
        <v>1</v>
      </c>
      <c r="B6" s="9">
        <v>2</v>
      </c>
      <c r="C6" s="10">
        <v>3</v>
      </c>
      <c r="D6" s="11">
        <v>4</v>
      </c>
      <c r="E6" s="11">
        <v>5</v>
      </c>
      <c r="F6" s="11">
        <v>6</v>
      </c>
    </row>
    <row r="7" spans="1:6" ht="22.5" customHeight="1">
      <c r="A7" s="6" t="s">
        <v>10</v>
      </c>
      <c r="B7" s="12" t="s">
        <v>11</v>
      </c>
      <c r="C7" s="13">
        <f>SUM(C8:C18)</f>
        <v>181951041</v>
      </c>
      <c r="D7" s="14">
        <f>SUM(D8:D18)</f>
        <v>192325900</v>
      </c>
      <c r="E7" s="14">
        <f>SUM(E8:E18)</f>
        <v>93033437.95</v>
      </c>
      <c r="F7" s="13">
        <f>(E7*100)/D7</f>
        <v>48.37280779655782</v>
      </c>
    </row>
    <row r="8" spans="1:8" ht="16.5" customHeight="1">
      <c r="A8" s="15"/>
      <c r="B8" s="16" t="s">
        <v>12</v>
      </c>
      <c r="C8" s="17">
        <f>181951041-C9-C10-C11-C12-C14-C15-C16-C17-C18</f>
        <v>118178831</v>
      </c>
      <c r="D8" s="17">
        <f>192325900-D9-D10-D11-D12-D14-D15-D16-D17-D18</f>
        <v>126877933</v>
      </c>
      <c r="E8" s="17">
        <f>93033437.95-E9-E10-E11-E12-E14-E15-E16-E17-E18</f>
        <v>57600824.56</v>
      </c>
      <c r="F8" s="18">
        <f>(E8*100)/D8</f>
        <v>45.398615187086946</v>
      </c>
      <c r="H8" s="19"/>
    </row>
    <row r="9" spans="1:8" ht="12.75">
      <c r="A9" s="15"/>
      <c r="B9" s="20" t="s">
        <v>13</v>
      </c>
      <c r="C9" s="21">
        <v>957932</v>
      </c>
      <c r="D9" s="22">
        <v>957932</v>
      </c>
      <c r="E9" s="17">
        <v>478812</v>
      </c>
      <c r="F9" s="18">
        <f>(E9*100)/D9</f>
        <v>49.98392370230872</v>
      </c>
      <c r="H9" s="23"/>
    </row>
    <row r="10" spans="1:6" ht="12.75">
      <c r="A10" s="15"/>
      <c r="B10" s="20" t="s">
        <v>14</v>
      </c>
      <c r="C10" s="18">
        <v>2034356</v>
      </c>
      <c r="D10" s="22">
        <v>2034356</v>
      </c>
      <c r="E10" s="22">
        <v>1017180</v>
      </c>
      <c r="F10" s="18">
        <f>(E10*100)/D10</f>
        <v>50.00009831121003</v>
      </c>
    </row>
    <row r="11" spans="1:7" ht="12.75">
      <c r="A11" s="15"/>
      <c r="B11" s="20" t="s">
        <v>15</v>
      </c>
      <c r="C11" s="18">
        <v>13650125</v>
      </c>
      <c r="D11" s="22">
        <v>13737552</v>
      </c>
      <c r="E11" s="24">
        <v>8453879</v>
      </c>
      <c r="F11" s="18">
        <f>(E11*100)/D11</f>
        <v>61.538467697883874</v>
      </c>
      <c r="G11" s="19"/>
    </row>
    <row r="12" spans="1:6" ht="12.75">
      <c r="A12" s="15"/>
      <c r="B12" s="20" t="s">
        <v>16</v>
      </c>
      <c r="C12" s="18">
        <v>23169617</v>
      </c>
      <c r="D12" s="22">
        <v>23854351</v>
      </c>
      <c r="E12" s="22">
        <v>14679600</v>
      </c>
      <c r="F12" s="18">
        <f>(E12*100)/D12</f>
        <v>61.538458958703174</v>
      </c>
    </row>
    <row r="13" spans="1:6" ht="15" customHeight="1" hidden="1">
      <c r="A13" s="15"/>
      <c r="B13" s="20" t="s">
        <v>17</v>
      </c>
      <c r="C13" s="18"/>
      <c r="D13" s="22"/>
      <c r="E13" s="22"/>
      <c r="F13" s="18" t="e">
        <f>(E13*100)/D13</f>
        <v>#DIV/0!</v>
      </c>
    </row>
    <row r="14" spans="1:6" ht="12.75">
      <c r="A14" s="15"/>
      <c r="B14" s="16" t="s">
        <v>18</v>
      </c>
      <c r="C14" s="25">
        <v>17380364</v>
      </c>
      <c r="D14" s="22">
        <v>17365346</v>
      </c>
      <c r="E14" s="22">
        <v>6240667</v>
      </c>
      <c r="F14" s="18">
        <f>(E14*100)/D14</f>
        <v>35.93747570592604</v>
      </c>
    </row>
    <row r="15" spans="1:6" ht="12.75">
      <c r="A15" s="15"/>
      <c r="B15" s="16" t="s">
        <v>19</v>
      </c>
      <c r="C15" s="25">
        <v>4170605</v>
      </c>
      <c r="D15" s="22">
        <v>4299364</v>
      </c>
      <c r="E15" s="22">
        <v>2506896</v>
      </c>
      <c r="F15" s="18">
        <f>(E15*100)/D15</f>
        <v>58.30853121531464</v>
      </c>
    </row>
    <row r="16" spans="1:6" ht="12.75">
      <c r="A16" s="15"/>
      <c r="B16" s="16" t="s">
        <v>20</v>
      </c>
      <c r="C16" s="25">
        <v>707940</v>
      </c>
      <c r="D16" s="22">
        <v>709632</v>
      </c>
      <c r="E16" s="22">
        <v>354816</v>
      </c>
      <c r="F16" s="18">
        <f>(E16*100)/D16</f>
        <v>50</v>
      </c>
    </row>
    <row r="17" spans="1:6" ht="12.75">
      <c r="A17" s="15"/>
      <c r="B17" s="16" t="s">
        <v>21</v>
      </c>
      <c r="C17" s="25">
        <v>400000</v>
      </c>
      <c r="D17" s="22">
        <v>515000</v>
      </c>
      <c r="E17" s="22">
        <v>455752.39</v>
      </c>
      <c r="F17" s="18">
        <f>(E17*100)/D17</f>
        <v>88.49560970873786</v>
      </c>
    </row>
    <row r="18" spans="1:6" ht="31.5" customHeight="1">
      <c r="A18" s="15"/>
      <c r="B18" s="16" t="s">
        <v>22</v>
      </c>
      <c r="C18" s="25">
        <v>1301271</v>
      </c>
      <c r="D18" s="22">
        <v>1974434</v>
      </c>
      <c r="E18" s="22">
        <v>1245011</v>
      </c>
      <c r="F18" s="18">
        <f>(E18*100)/D18</f>
        <v>63.056602550401784</v>
      </c>
    </row>
    <row r="19" spans="1:6" ht="21.75" customHeight="1">
      <c r="A19" s="6" t="s">
        <v>23</v>
      </c>
      <c r="B19" s="26" t="s">
        <v>24</v>
      </c>
      <c r="C19" s="14">
        <f>SUM(C20:C22)</f>
        <v>35500000</v>
      </c>
      <c r="D19" s="14">
        <f>SUM(D20:D22)</f>
        <v>41520310</v>
      </c>
      <c r="E19" s="14">
        <f>SUM(E20:E22)</f>
        <v>6020310.5</v>
      </c>
      <c r="F19" s="13">
        <f>(E19*100)/D19</f>
        <v>14.499676182571855</v>
      </c>
    </row>
    <row r="20" spans="1:6" ht="18" customHeight="1">
      <c r="A20" s="27"/>
      <c r="B20" s="16" t="s">
        <v>25</v>
      </c>
      <c r="C20" s="25">
        <v>34636000</v>
      </c>
      <c r="D20" s="22">
        <f>C20</f>
        <v>34636000</v>
      </c>
      <c r="E20" s="22">
        <v>0</v>
      </c>
      <c r="F20" s="18">
        <f>(E20*100)/D20</f>
        <v>0</v>
      </c>
    </row>
    <row r="21" spans="1:6" ht="16.5" customHeight="1">
      <c r="A21" s="27"/>
      <c r="B21" s="16" t="s">
        <v>26</v>
      </c>
      <c r="C21" s="25">
        <v>864000</v>
      </c>
      <c r="D21" s="28">
        <f>C21</f>
        <v>864000</v>
      </c>
      <c r="E21" s="22">
        <v>0</v>
      </c>
      <c r="F21" s="18">
        <f>(E21*100)/D21</f>
        <v>0</v>
      </c>
    </row>
    <row r="22" spans="1:6" ht="17.25" customHeight="1">
      <c r="A22" s="27"/>
      <c r="B22" s="16" t="s">
        <v>27</v>
      </c>
      <c r="C22" s="25">
        <v>0</v>
      </c>
      <c r="D22" s="22">
        <v>6020310</v>
      </c>
      <c r="E22" s="22">
        <v>6020310.5</v>
      </c>
      <c r="F22" s="18">
        <f>(E22*100)/D22</f>
        <v>100.00000830522016</v>
      </c>
    </row>
    <row r="23" spans="1:8" ht="18.75" customHeight="1">
      <c r="A23" s="6" t="s">
        <v>28</v>
      </c>
      <c r="B23" s="26" t="s">
        <v>29</v>
      </c>
      <c r="C23" s="14">
        <f>SUM(C24:C29)</f>
        <v>212111331</v>
      </c>
      <c r="D23" s="14">
        <f>SUM(D24:D29)</f>
        <v>228506500</v>
      </c>
      <c r="E23" s="14">
        <f>SUM(E24:E29)</f>
        <v>94737448.63999999</v>
      </c>
      <c r="F23" s="13">
        <f>(E23*100)/D23</f>
        <v>41.45941084389283</v>
      </c>
      <c r="H23" s="19"/>
    </row>
    <row r="24" spans="1:6" ht="18.75" customHeight="1">
      <c r="A24" s="15"/>
      <c r="B24" s="16" t="s">
        <v>12</v>
      </c>
      <c r="C24" s="17">
        <f>212111331-C25-C26-C27-C28-C29</f>
        <v>188020581</v>
      </c>
      <c r="D24" s="17">
        <f>228506500-D25-D26-D27-D28-D29</f>
        <v>203512154</v>
      </c>
      <c r="E24" s="17">
        <f>94737448.64-E25-E26-E27-E28-E29</f>
        <v>84124274.74999999</v>
      </c>
      <c r="F24" s="18">
        <f>(E24*100)/D24</f>
        <v>41.33624115147441</v>
      </c>
    </row>
    <row r="25" spans="1:6" ht="18.75" customHeight="1">
      <c r="A25" s="15"/>
      <c r="B25" s="16" t="s">
        <v>30</v>
      </c>
      <c r="C25" s="25">
        <v>17380364</v>
      </c>
      <c r="D25" s="22">
        <v>17365346</v>
      </c>
      <c r="E25" s="22">
        <v>6474245.62</v>
      </c>
      <c r="F25" s="18">
        <f>(E25*100)/D25</f>
        <v>37.282560451142174</v>
      </c>
    </row>
    <row r="26" spans="1:6" ht="17.25" customHeight="1">
      <c r="A26" s="15"/>
      <c r="B26" s="16" t="s">
        <v>31</v>
      </c>
      <c r="C26" s="25">
        <v>4170605</v>
      </c>
      <c r="D26" s="22">
        <v>4299364</v>
      </c>
      <c r="E26" s="22">
        <v>2287209.47</v>
      </c>
      <c r="F26" s="18">
        <f>(E26*100)/D26</f>
        <v>53.19878637863648</v>
      </c>
    </row>
    <row r="27" spans="1:6" ht="17.25" customHeight="1">
      <c r="A27" s="15"/>
      <c r="B27" s="16" t="s">
        <v>32</v>
      </c>
      <c r="C27" s="25">
        <v>707940</v>
      </c>
      <c r="D27" s="22">
        <v>709632</v>
      </c>
      <c r="E27" s="22">
        <v>308053.04</v>
      </c>
      <c r="F27" s="18">
        <f>(E27*100)/D27</f>
        <v>43.41025207431457</v>
      </c>
    </row>
    <row r="28" spans="1:6" ht="12.75">
      <c r="A28" s="15"/>
      <c r="B28" s="16" t="s">
        <v>33</v>
      </c>
      <c r="C28" s="25">
        <v>530570</v>
      </c>
      <c r="D28" s="22">
        <v>645570</v>
      </c>
      <c r="E28" s="22">
        <v>238643.83</v>
      </c>
      <c r="F28" s="18">
        <f>(E28*100)/D28</f>
        <v>36.9663754511517</v>
      </c>
    </row>
    <row r="29" spans="1:6" ht="17.25" customHeight="1">
      <c r="A29" s="15"/>
      <c r="B29" s="16" t="s">
        <v>34</v>
      </c>
      <c r="C29" s="25">
        <v>1301271</v>
      </c>
      <c r="D29" s="22">
        <v>1974434</v>
      </c>
      <c r="E29" s="22">
        <v>1305021.93</v>
      </c>
      <c r="F29" s="18">
        <f>(E29*100)/D29</f>
        <v>66.09600168959814</v>
      </c>
    </row>
    <row r="30" spans="1:6" ht="20.25" customHeight="1">
      <c r="A30" s="6" t="s">
        <v>35</v>
      </c>
      <c r="B30" s="26" t="s">
        <v>36</v>
      </c>
      <c r="C30" s="13">
        <f>SUM(C31:C32)</f>
        <v>5339710</v>
      </c>
      <c r="D30" s="14">
        <f>SUM(D31:D32)</f>
        <v>5339710</v>
      </c>
      <c r="E30" s="14">
        <f>SUM(E31:E32)</f>
        <v>2556712.99</v>
      </c>
      <c r="F30" s="13">
        <f>(E30*100)/D30</f>
        <v>47.881120697565976</v>
      </c>
    </row>
    <row r="31" spans="1:6" ht="18.75" customHeight="1">
      <c r="A31" s="15"/>
      <c r="B31" s="16" t="s">
        <v>37</v>
      </c>
      <c r="C31" s="18">
        <f>5339710-C32</f>
        <v>5193864</v>
      </c>
      <c r="D31" s="25">
        <v>5193864</v>
      </c>
      <c r="E31" s="22">
        <f>2556712.99-E32</f>
        <v>2556712.99</v>
      </c>
      <c r="F31" s="18">
        <f>(E31*100)/D31</f>
        <v>49.22564375963638</v>
      </c>
    </row>
    <row r="32" spans="1:6" ht="16.5" customHeight="1">
      <c r="A32" s="15"/>
      <c r="B32" s="29" t="s">
        <v>38</v>
      </c>
      <c r="C32" s="30">
        <f>39251+106595</f>
        <v>145846</v>
      </c>
      <c r="D32" s="22">
        <v>145846</v>
      </c>
      <c r="E32" s="22">
        <v>0</v>
      </c>
      <c r="F32" s="18">
        <f>(E32*100)/D32</f>
        <v>0</v>
      </c>
    </row>
    <row r="33" spans="3:5" ht="12.75">
      <c r="C33" s="31"/>
      <c r="D33" s="31"/>
      <c r="E33" s="31"/>
    </row>
    <row r="34" spans="3:5" ht="12.75">
      <c r="C34" s="31">
        <f>C7+C19-C23-C30</f>
        <v>0</v>
      </c>
      <c r="D34" s="31">
        <f>D7+D19-D23-D30</f>
        <v>0</v>
      </c>
      <c r="E34" s="31">
        <f>E7+E19-E23-E30</f>
        <v>1759586.820000017</v>
      </c>
    </row>
    <row r="35" spans="3:5" ht="12.75">
      <c r="C35" s="31"/>
      <c r="D35" s="31"/>
      <c r="E35" s="31" t="s">
        <v>39</v>
      </c>
    </row>
    <row r="36" spans="3:5" ht="12.75">
      <c r="C36" s="31"/>
      <c r="D36" s="31"/>
      <c r="E36" s="31"/>
    </row>
    <row r="37" spans="3:5" ht="12.75">
      <c r="C37" s="31"/>
      <c r="D37" s="31"/>
      <c r="E37" s="31"/>
    </row>
    <row r="38" spans="3:5" ht="12.75">
      <c r="C38" s="31"/>
      <c r="D38" s="31"/>
      <c r="E38" s="31"/>
    </row>
    <row r="39" spans="3:5" ht="12.75">
      <c r="C39" s="31"/>
      <c r="D39" s="31"/>
      <c r="E39" s="31"/>
    </row>
    <row r="40" spans="3:5" ht="12.75">
      <c r="C40" s="31"/>
      <c r="D40" s="31"/>
      <c r="E40" s="31"/>
    </row>
    <row r="41" spans="3:5" ht="12.75">
      <c r="C41" s="31"/>
      <c r="D41" s="31"/>
      <c r="E41" s="31"/>
    </row>
    <row r="42" spans="3:5" ht="12.75">
      <c r="C42" s="31"/>
      <c r="D42" s="31"/>
      <c r="E42" s="31"/>
    </row>
    <row r="43" spans="3:5" ht="12.75">
      <c r="C43" s="31"/>
      <c r="D43" s="31"/>
      <c r="E43" s="31"/>
    </row>
    <row r="44" spans="3:5" ht="12.75">
      <c r="C44" s="31"/>
      <c r="D44" s="31"/>
      <c r="E44" s="31"/>
    </row>
    <row r="45" spans="3:5" ht="12.75">
      <c r="C45" s="31"/>
      <c r="D45" s="31"/>
      <c r="E45" s="31"/>
    </row>
    <row r="46" spans="3:5" ht="12.75">
      <c r="C46" s="31"/>
      <c r="D46" s="31"/>
      <c r="E46" s="31"/>
    </row>
    <row r="47" spans="3:5" ht="12.75">
      <c r="C47" s="31"/>
      <c r="D47" s="31"/>
      <c r="E47" s="31"/>
    </row>
    <row r="48" spans="3:5" ht="12.75">
      <c r="C48" s="31"/>
      <c r="D48" s="31"/>
      <c r="E48" s="31"/>
    </row>
    <row r="49" spans="3:5" ht="12.75">
      <c r="C49" s="31"/>
      <c r="D49" s="31"/>
      <c r="E49" s="31"/>
    </row>
    <row r="50" spans="3:5" ht="12.75">
      <c r="C50" s="31"/>
      <c r="D50" s="31"/>
      <c r="E50" s="31"/>
    </row>
    <row r="51" spans="3:5" ht="12.75">
      <c r="C51" s="31"/>
      <c r="D51" s="31"/>
      <c r="E51" s="31"/>
    </row>
    <row r="52" spans="3:5" ht="12.75">
      <c r="C52" s="31"/>
      <c r="D52" s="31"/>
      <c r="E52" s="31"/>
    </row>
    <row r="53" spans="3:5" ht="12.75">
      <c r="C53" s="31"/>
      <c r="D53" s="31"/>
      <c r="E53" s="31"/>
    </row>
    <row r="54" spans="3:5" ht="12.75">
      <c r="C54" s="31"/>
      <c r="D54" s="31"/>
      <c r="E54" s="31"/>
    </row>
    <row r="55" spans="3:5" ht="12.75">
      <c r="C55" s="31"/>
      <c r="D55" s="31"/>
      <c r="E55" s="31"/>
    </row>
    <row r="56" spans="3:5" ht="12.75">
      <c r="C56" s="31"/>
      <c r="D56" s="31"/>
      <c r="E56" s="31"/>
    </row>
    <row r="57" spans="3:5" ht="12.75">
      <c r="C57" s="31"/>
      <c r="D57" s="31"/>
      <c r="E57" s="31"/>
    </row>
    <row r="58" spans="3:5" ht="12.75">
      <c r="C58" s="31"/>
      <c r="D58" s="31"/>
      <c r="E58" s="31"/>
    </row>
    <row r="59" spans="3:5" ht="12.75">
      <c r="C59" s="31"/>
      <c r="D59" s="31"/>
      <c r="E59" s="31"/>
    </row>
    <row r="60" spans="3:5" ht="12.75">
      <c r="C60" s="31"/>
      <c r="D60" s="31"/>
      <c r="E60" s="31"/>
    </row>
    <row r="61" spans="3:5" ht="12.75">
      <c r="C61" s="31"/>
      <c r="D61" s="31"/>
      <c r="E61" s="31"/>
    </row>
    <row r="62" spans="3:5" ht="12.75">
      <c r="C62" s="31"/>
      <c r="D62" s="31"/>
      <c r="E62" s="31"/>
    </row>
    <row r="63" spans="3:5" ht="12.75">
      <c r="C63" s="31"/>
      <c r="D63" s="31"/>
      <c r="E63" s="31"/>
    </row>
    <row r="64" spans="3:5" ht="12.75">
      <c r="C64" s="31"/>
      <c r="D64" s="31"/>
      <c r="E64" s="31"/>
    </row>
    <row r="65" spans="3:5" ht="12.75">
      <c r="C65" s="31"/>
      <c r="D65" s="31"/>
      <c r="E65" s="31"/>
    </row>
    <row r="66" spans="3:5" ht="12.75">
      <c r="C66" s="31"/>
      <c r="D66" s="31"/>
      <c r="E66" s="31"/>
    </row>
    <row r="67" spans="3:5" ht="12.75">
      <c r="C67" s="31"/>
      <c r="D67" s="31"/>
      <c r="E67" s="31"/>
    </row>
    <row r="68" spans="3:5" ht="12.75">
      <c r="C68" s="31"/>
      <c r="D68" s="31"/>
      <c r="E68" s="31"/>
    </row>
    <row r="69" spans="3:5" ht="12.75">
      <c r="C69" s="31"/>
      <c r="D69" s="31"/>
      <c r="E69" s="31"/>
    </row>
    <row r="70" spans="3:5" ht="12.75">
      <c r="C70" s="31"/>
      <c r="D70" s="31"/>
      <c r="E70" s="31"/>
    </row>
    <row r="71" spans="3:5" ht="12.75">
      <c r="C71" s="31"/>
      <c r="D71" s="31"/>
      <c r="E71" s="31"/>
    </row>
    <row r="72" spans="3:5" ht="12.75">
      <c r="C72" s="31"/>
      <c r="D72" s="31"/>
      <c r="E72" s="31"/>
    </row>
    <row r="73" spans="3:5" ht="12.75">
      <c r="C73" s="31"/>
      <c r="D73" s="31"/>
      <c r="E73" s="31"/>
    </row>
    <row r="74" spans="3:5" ht="12.75">
      <c r="C74" s="31"/>
      <c r="D74" s="31"/>
      <c r="E74" s="31"/>
    </row>
    <row r="75" spans="3:5" ht="12.75">
      <c r="C75" s="31"/>
      <c r="D75" s="31"/>
      <c r="E75" s="31"/>
    </row>
    <row r="76" spans="3:5" ht="12.75">
      <c r="C76" s="31"/>
      <c r="D76" s="31"/>
      <c r="E76" s="31"/>
    </row>
    <row r="77" spans="3:5" ht="12.75">
      <c r="C77" s="31"/>
      <c r="D77" s="31"/>
      <c r="E77" s="31"/>
    </row>
    <row r="78" spans="3:5" ht="12.75">
      <c r="C78" s="31"/>
      <c r="D78" s="31"/>
      <c r="E78" s="31"/>
    </row>
    <row r="79" spans="3:5" ht="12.75">
      <c r="C79" s="31"/>
      <c r="D79" s="31"/>
      <c r="E79" s="31"/>
    </row>
    <row r="80" spans="3:5" ht="12.75">
      <c r="C80" s="31"/>
      <c r="D80" s="31"/>
      <c r="E80" s="31"/>
    </row>
    <row r="81" spans="3:5" ht="12.75">
      <c r="C81" s="31"/>
      <c r="D81" s="31"/>
      <c r="E81" s="31"/>
    </row>
    <row r="82" spans="3:5" ht="12.75">
      <c r="C82" s="31"/>
      <c r="D82" s="31"/>
      <c r="E82" s="31"/>
    </row>
    <row r="83" spans="3:5" ht="12.75">
      <c r="C83" s="31"/>
      <c r="D83" s="31"/>
      <c r="E83" s="31"/>
    </row>
    <row r="84" spans="3:5" ht="12.75">
      <c r="C84" s="31"/>
      <c r="D84" s="31"/>
      <c r="E84" s="31"/>
    </row>
    <row r="85" spans="3:5" ht="12.75">
      <c r="C85" s="31"/>
      <c r="D85" s="31"/>
      <c r="E85" s="31"/>
    </row>
    <row r="86" spans="3:5" ht="12.75">
      <c r="C86" s="31"/>
      <c r="D86" s="31"/>
      <c r="E86" s="31"/>
    </row>
    <row r="87" spans="3:5" ht="12.75">
      <c r="C87" s="31"/>
      <c r="D87" s="31"/>
      <c r="E87" s="31"/>
    </row>
    <row r="88" spans="3:5" ht="12.75">
      <c r="C88" s="31"/>
      <c r="D88" s="31"/>
      <c r="E88" s="31"/>
    </row>
    <row r="89" spans="3:5" ht="12.75">
      <c r="C89" s="31"/>
      <c r="D89" s="31"/>
      <c r="E89" s="31"/>
    </row>
    <row r="90" spans="3:5" ht="12.75">
      <c r="C90" s="31"/>
      <c r="D90" s="31"/>
      <c r="E90" s="31"/>
    </row>
    <row r="91" spans="3:5" ht="12.75">
      <c r="C91" s="31"/>
      <c r="D91" s="31"/>
      <c r="E91" s="31"/>
    </row>
    <row r="92" spans="3:5" ht="12.75">
      <c r="C92" s="31"/>
      <c r="D92" s="31"/>
      <c r="E92" s="31"/>
    </row>
    <row r="93" spans="3:5" ht="12.75">
      <c r="C93" s="31"/>
      <c r="D93" s="31"/>
      <c r="E93" s="31"/>
    </row>
    <row r="94" spans="3:5" ht="12.75">
      <c r="C94" s="31"/>
      <c r="D94" s="31"/>
      <c r="E94" s="31"/>
    </row>
    <row r="95" spans="3:5" ht="12.75">
      <c r="C95" s="31"/>
      <c r="D95" s="31"/>
      <c r="E95" s="31"/>
    </row>
    <row r="96" spans="3:5" ht="12.75">
      <c r="C96" s="31"/>
      <c r="D96" s="31"/>
      <c r="E96" s="31"/>
    </row>
    <row r="97" spans="3:5" ht="12.75">
      <c r="C97" s="31"/>
      <c r="D97" s="31"/>
      <c r="E97" s="31"/>
    </row>
    <row r="98" spans="3:5" ht="12.75">
      <c r="C98" s="31"/>
      <c r="D98" s="31"/>
      <c r="E98" s="31"/>
    </row>
    <row r="99" spans="3:5" ht="12.75">
      <c r="C99" s="31"/>
      <c r="D99" s="31"/>
      <c r="E99" s="31"/>
    </row>
    <row r="100" spans="3:5" ht="12.75">
      <c r="C100" s="31"/>
      <c r="D100" s="31"/>
      <c r="E100" s="31"/>
    </row>
    <row r="101" spans="3:5" ht="12.75">
      <c r="C101" s="31"/>
      <c r="D101" s="31"/>
      <c r="E101" s="31"/>
    </row>
    <row r="102" spans="3:5" ht="12.75">
      <c r="C102" s="31"/>
      <c r="D102" s="31"/>
      <c r="E102" s="31"/>
    </row>
    <row r="103" spans="3:5" ht="12.75">
      <c r="C103" s="31"/>
      <c r="D103" s="31"/>
      <c r="E103" s="31"/>
    </row>
    <row r="104" spans="3:5" ht="12.75">
      <c r="C104" s="31"/>
      <c r="D104" s="31"/>
      <c r="E104" s="31"/>
    </row>
    <row r="105" spans="3:5" ht="12.75">
      <c r="C105" s="31"/>
      <c r="D105" s="31"/>
      <c r="E105" s="31"/>
    </row>
    <row r="106" spans="3:5" ht="12.75">
      <c r="C106" s="31"/>
      <c r="D106" s="31"/>
      <c r="E106" s="31"/>
    </row>
    <row r="107" spans="3:5" ht="12.75">
      <c r="C107" s="31"/>
      <c r="D107" s="31"/>
      <c r="E107" s="31"/>
    </row>
    <row r="108" spans="3:5" ht="12.75">
      <c r="C108" s="31"/>
      <c r="D108" s="31"/>
      <c r="E108" s="31"/>
    </row>
    <row r="109" spans="3:5" ht="12.75">
      <c r="C109" s="31"/>
      <c r="D109" s="31"/>
      <c r="E109" s="31"/>
    </row>
    <row r="110" spans="3:5" ht="12.75">
      <c r="C110" s="31"/>
      <c r="D110" s="31"/>
      <c r="E110" s="31"/>
    </row>
    <row r="111" spans="3:5" ht="12.75">
      <c r="C111" s="31"/>
      <c r="D111" s="31"/>
      <c r="E111" s="31"/>
    </row>
    <row r="112" spans="3:5" ht="12.75">
      <c r="C112" s="31"/>
      <c r="D112" s="31"/>
      <c r="E112" s="31"/>
    </row>
    <row r="113" spans="3:5" ht="12.75">
      <c r="C113" s="31"/>
      <c r="D113" s="31"/>
      <c r="E113" s="31"/>
    </row>
    <row r="114" spans="3:5" ht="12.75">
      <c r="C114" s="31"/>
      <c r="D114" s="31"/>
      <c r="E114" s="31"/>
    </row>
    <row r="115" spans="3:5" ht="12.75">
      <c r="C115" s="31"/>
      <c r="D115" s="31"/>
      <c r="E115" s="31"/>
    </row>
    <row r="116" spans="3:5" ht="12.75">
      <c r="C116" s="31"/>
      <c r="D116" s="31"/>
      <c r="E116" s="31"/>
    </row>
    <row r="117" spans="3:5" ht="12.75">
      <c r="C117" s="31"/>
      <c r="D117" s="31"/>
      <c r="E117" s="31"/>
    </row>
    <row r="118" spans="3:5" ht="12.75">
      <c r="C118" s="31"/>
      <c r="D118" s="31"/>
      <c r="E118" s="31"/>
    </row>
    <row r="119" spans="3:5" ht="12.75">
      <c r="C119" s="31"/>
      <c r="D119" s="31"/>
      <c r="E119" s="31"/>
    </row>
    <row r="120" spans="3:5" ht="12.75">
      <c r="C120" s="31"/>
      <c r="D120" s="31"/>
      <c r="E120" s="31"/>
    </row>
    <row r="121" spans="3:5" ht="12.75">
      <c r="C121" s="31"/>
      <c r="D121" s="31"/>
      <c r="E121" s="31"/>
    </row>
    <row r="122" spans="3:5" ht="12.75">
      <c r="C122" s="31"/>
      <c r="D122" s="31"/>
      <c r="E122" s="31"/>
    </row>
    <row r="123" spans="3:5" ht="12.75">
      <c r="C123" s="31"/>
      <c r="D123" s="31"/>
      <c r="E123" s="31"/>
    </row>
    <row r="124" spans="3:5" ht="12.75">
      <c r="C124" s="31"/>
      <c r="D124" s="31"/>
      <c r="E124" s="31"/>
    </row>
    <row r="125" spans="3:5" ht="12.75">
      <c r="C125" s="31"/>
      <c r="D125" s="31"/>
      <c r="E125" s="31"/>
    </row>
    <row r="126" spans="3:5" ht="12.75">
      <c r="C126" s="31"/>
      <c r="D126" s="31"/>
      <c r="E126" s="31"/>
    </row>
    <row r="127" spans="3:5" ht="12.75">
      <c r="C127" s="31"/>
      <c r="D127" s="31"/>
      <c r="E127" s="31"/>
    </row>
    <row r="128" spans="3:5" ht="12.75">
      <c r="C128" s="31"/>
      <c r="D128" s="31"/>
      <c r="E128" s="31"/>
    </row>
    <row r="129" spans="3:5" ht="12.75">
      <c r="C129" s="31"/>
      <c r="D129" s="31"/>
      <c r="E129" s="31"/>
    </row>
    <row r="130" spans="3:5" ht="12.75">
      <c r="C130" s="31"/>
      <c r="D130" s="31"/>
      <c r="E130" s="31"/>
    </row>
    <row r="131" spans="3:5" ht="12.75">
      <c r="C131" s="31"/>
      <c r="D131" s="31"/>
      <c r="E131" s="31"/>
    </row>
    <row r="132" spans="3:5" ht="12.75">
      <c r="C132" s="31"/>
      <c r="D132" s="31"/>
      <c r="E132" s="31"/>
    </row>
    <row r="133" spans="3:5" ht="12.75">
      <c r="C133" s="31"/>
      <c r="D133" s="31"/>
      <c r="E133" s="31"/>
    </row>
    <row r="134" spans="3:5" ht="12.75">
      <c r="C134" s="31"/>
      <c r="D134" s="31"/>
      <c r="E134" s="31"/>
    </row>
    <row r="135" spans="3:5" ht="12.75">
      <c r="C135" s="31"/>
      <c r="D135" s="31"/>
      <c r="E135" s="31"/>
    </row>
    <row r="136" spans="3:5" ht="12.75">
      <c r="C136" s="31"/>
      <c r="D136" s="31"/>
      <c r="E136" s="31"/>
    </row>
    <row r="137" spans="3:5" ht="12.75">
      <c r="C137" s="31"/>
      <c r="D137" s="31"/>
      <c r="E137" s="31"/>
    </row>
    <row r="138" spans="3:5" ht="12.75">
      <c r="C138" s="31"/>
      <c r="D138" s="31"/>
      <c r="E138" s="31"/>
    </row>
    <row r="139" spans="3:5" ht="12.75">
      <c r="C139" s="31"/>
      <c r="D139" s="31"/>
      <c r="E139" s="31"/>
    </row>
    <row r="140" spans="3:5" ht="12.75">
      <c r="C140" s="31"/>
      <c r="D140" s="31"/>
      <c r="E140" s="31"/>
    </row>
    <row r="141" spans="3:5" ht="12.75">
      <c r="C141" s="31"/>
      <c r="D141" s="31"/>
      <c r="E141" s="31"/>
    </row>
    <row r="142" spans="3:5" ht="12.75">
      <c r="C142" s="31"/>
      <c r="D142" s="31"/>
      <c r="E142" s="31"/>
    </row>
    <row r="143" spans="3:5" ht="12.75">
      <c r="C143" s="31"/>
      <c r="D143" s="31"/>
      <c r="E143" s="31"/>
    </row>
    <row r="144" spans="3:5" ht="12.75">
      <c r="C144" s="31"/>
      <c r="D144" s="31"/>
      <c r="E144" s="31"/>
    </row>
    <row r="145" spans="3:5" ht="12.75">
      <c r="C145" s="31"/>
      <c r="D145" s="31"/>
      <c r="E145" s="31"/>
    </row>
    <row r="146" spans="3:5" ht="12.75">
      <c r="C146" s="31"/>
      <c r="D146" s="31"/>
      <c r="E146" s="31"/>
    </row>
    <row r="147" spans="3:5" ht="12.75">
      <c r="C147" s="31"/>
      <c r="D147" s="31"/>
      <c r="E147" s="31"/>
    </row>
    <row r="148" spans="3:5" ht="12.75">
      <c r="C148" s="31"/>
      <c r="D148" s="31"/>
      <c r="E148" s="31"/>
    </row>
    <row r="149" spans="3:5" ht="12.75">
      <c r="C149" s="31"/>
      <c r="D149" s="31"/>
      <c r="E149" s="31"/>
    </row>
    <row r="150" spans="3:5" ht="12.75">
      <c r="C150" s="31"/>
      <c r="D150" s="31"/>
      <c r="E150" s="31"/>
    </row>
    <row r="151" spans="3:5" ht="12.75">
      <c r="C151" s="31"/>
      <c r="D151" s="31"/>
      <c r="E151" s="31"/>
    </row>
    <row r="152" spans="3:5" ht="12.75">
      <c r="C152" s="31"/>
      <c r="D152" s="31"/>
      <c r="E152" s="31"/>
    </row>
    <row r="153" spans="3:5" ht="12.75">
      <c r="C153" s="31"/>
      <c r="D153" s="31"/>
      <c r="E153" s="31"/>
    </row>
    <row r="154" spans="3:5" ht="12.75">
      <c r="C154" s="31"/>
      <c r="D154" s="31"/>
      <c r="E154" s="31"/>
    </row>
    <row r="155" spans="3:5" ht="12.75">
      <c r="C155" s="31"/>
      <c r="D155" s="31"/>
      <c r="E155" s="31"/>
    </row>
    <row r="156" spans="3:5" ht="12.75">
      <c r="C156" s="31"/>
      <c r="D156" s="31"/>
      <c r="E156" s="31"/>
    </row>
    <row r="157" spans="3:5" ht="12.75">
      <c r="C157" s="31"/>
      <c r="D157" s="31"/>
      <c r="E157" s="31"/>
    </row>
    <row r="158" spans="3:5" ht="12.75">
      <c r="C158" s="31"/>
      <c r="D158" s="31"/>
      <c r="E158" s="31"/>
    </row>
    <row r="159" spans="3:5" ht="12.75">
      <c r="C159" s="31"/>
      <c r="D159" s="31"/>
      <c r="E159" s="31"/>
    </row>
    <row r="160" spans="3:5" ht="12.75">
      <c r="C160" s="31"/>
      <c r="D160" s="31"/>
      <c r="E160" s="31"/>
    </row>
    <row r="161" spans="3:5" ht="12.75">
      <c r="C161" s="31"/>
      <c r="D161" s="31"/>
      <c r="E161" s="31"/>
    </row>
    <row r="162" spans="3:5" ht="12.75">
      <c r="C162" s="31"/>
      <c r="D162" s="31"/>
      <c r="E162" s="31"/>
    </row>
    <row r="163" spans="3:5" ht="12.75">
      <c r="C163" s="31"/>
      <c r="D163" s="31"/>
      <c r="E163" s="31"/>
    </row>
  </sheetData>
  <sheetProtection selectLockedCells="1" selectUnlockedCells="1"/>
  <mergeCells count="8">
    <mergeCell ref="A1:F1"/>
    <mergeCell ref="A2:F2"/>
    <mergeCell ref="A3:F3"/>
    <mergeCell ref="E4:F4"/>
    <mergeCell ref="A8:A18"/>
    <mergeCell ref="A20:A22"/>
    <mergeCell ref="A24:A29"/>
    <mergeCell ref="A31:A32"/>
  </mergeCells>
  <printOptions/>
  <pageMargins left="0.5402777777777777" right="0.5097222222222222" top="0.6597222222222222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185"/>
  <sheetViews>
    <sheetView view="pageBreakPreview" zoomScale="80" zoomScaleNormal="80" zoomScaleSheetLayoutView="80" workbookViewId="0" topLeftCell="A4">
      <selection activeCell="F48" sqref="F48"/>
    </sheetView>
  </sheetViews>
  <sheetFormatPr defaultColWidth="9.00390625" defaultRowHeight="12.75"/>
  <cols>
    <col min="1" max="1" width="5.125" style="0" customWidth="1"/>
    <col min="2" max="2" width="0" style="0" hidden="1" customWidth="1"/>
    <col min="3" max="3" width="33.125" style="0" customWidth="1"/>
    <col min="4" max="4" width="16.375" style="0" customWidth="1"/>
    <col min="5" max="5" width="0" style="0" hidden="1" customWidth="1"/>
    <col min="6" max="6" width="15.75390625" style="0" customWidth="1"/>
    <col min="7" max="7" width="15.625" style="0" customWidth="1"/>
    <col min="8" max="8" width="8.625" style="0" customWidth="1"/>
    <col min="9" max="9" width="2.75390625" style="0" customWidth="1"/>
    <col min="10" max="10" width="13.375" style="0" customWidth="1"/>
    <col min="11" max="12" width="11.875" style="0" customWidth="1"/>
  </cols>
  <sheetData>
    <row r="1" spans="1:8" ht="18.75" customHeight="1">
      <c r="A1" s="32" t="s">
        <v>40</v>
      </c>
      <c r="B1" s="32"/>
      <c r="C1" s="32"/>
      <c r="D1" s="32"/>
      <c r="E1" s="32"/>
      <c r="F1" s="32"/>
      <c r="G1" s="32"/>
      <c r="H1" s="32"/>
    </row>
    <row r="2" spans="1:4" ht="17.25" customHeight="1">
      <c r="A2" s="33"/>
      <c r="B2" s="33"/>
      <c r="C2" s="33"/>
      <c r="D2" s="33"/>
    </row>
    <row r="3" spans="1:8" ht="15" customHeight="1">
      <c r="A3" s="34" t="s">
        <v>41</v>
      </c>
      <c r="B3" s="34"/>
      <c r="C3" s="34"/>
      <c r="D3" s="34"/>
      <c r="E3" s="34"/>
      <c r="F3" s="34"/>
      <c r="G3" s="34"/>
      <c r="H3" s="34"/>
    </row>
    <row r="4" spans="1:8" ht="12.75">
      <c r="A4" s="34" t="s">
        <v>42</v>
      </c>
      <c r="B4" s="34"/>
      <c r="C4" s="34"/>
      <c r="D4" s="34"/>
      <c r="E4" s="34"/>
      <c r="F4" s="34"/>
      <c r="G4" s="34"/>
      <c r="H4" s="34"/>
    </row>
    <row r="5" spans="1:8" ht="12.75">
      <c r="A5" s="35" t="s">
        <v>43</v>
      </c>
      <c r="B5" s="35"/>
      <c r="C5" s="35"/>
      <c r="D5" s="35"/>
      <c r="E5" s="35"/>
      <c r="F5" s="35"/>
      <c r="G5" s="35"/>
      <c r="H5" s="35"/>
    </row>
    <row r="6" spans="1:8" ht="20.25" customHeight="1">
      <c r="A6" s="36" t="s">
        <v>3</v>
      </c>
      <c r="B6" s="36"/>
      <c r="C6" s="36"/>
      <c r="D6" s="36"/>
      <c r="E6" s="36"/>
      <c r="F6" s="36"/>
      <c r="G6" s="36"/>
      <c r="H6" s="36"/>
    </row>
    <row r="7" spans="1:8" ht="38.25" customHeight="1">
      <c r="A7" s="37" t="s">
        <v>4</v>
      </c>
      <c r="B7" s="38" t="s">
        <v>44</v>
      </c>
      <c r="C7" s="37" t="s">
        <v>45</v>
      </c>
      <c r="D7" s="7" t="s">
        <v>6</v>
      </c>
      <c r="E7" s="7" t="s">
        <v>46</v>
      </c>
      <c r="F7" s="8" t="s">
        <v>7</v>
      </c>
      <c r="G7" s="8" t="s">
        <v>8</v>
      </c>
      <c r="H7" s="8" t="s">
        <v>9</v>
      </c>
    </row>
    <row r="8" spans="1:8" ht="12" customHeight="1">
      <c r="A8" s="39">
        <v>1</v>
      </c>
      <c r="B8" s="39"/>
      <c r="C8" s="39">
        <v>2</v>
      </c>
      <c r="D8" s="39">
        <v>3</v>
      </c>
      <c r="E8" s="40">
        <v>5</v>
      </c>
      <c r="F8" s="41">
        <v>4</v>
      </c>
      <c r="G8" s="41">
        <v>5</v>
      </c>
      <c r="H8" s="41">
        <v>6</v>
      </c>
    </row>
    <row r="9" spans="1:12" ht="12.75">
      <c r="A9" s="42" t="s">
        <v>47</v>
      </c>
      <c r="B9" s="42"/>
      <c r="C9" s="42"/>
      <c r="D9" s="43">
        <f>SUM(D10:D55)</f>
        <v>217451041</v>
      </c>
      <c r="E9" s="43" t="e">
        <f>SUM(E10:E55)</f>
        <v>#VALUE!</v>
      </c>
      <c r="F9" s="43">
        <f>SUM(F10:F55)</f>
        <v>233846210</v>
      </c>
      <c r="G9" s="43">
        <f>SUM(G10:G55)</f>
        <v>99053748.45</v>
      </c>
      <c r="H9" s="44">
        <f>(G9*100)/F9</f>
        <v>42.358500678715295</v>
      </c>
      <c r="J9" s="45">
        <f>SUM('Zał. Nr 1'!C7,'Zał. Nr 1'!C19)</f>
        <v>217451041</v>
      </c>
      <c r="K9" s="45">
        <f>SUM('Zał. Nr 1'!D7,'Zał. Nr 1'!D19)</f>
        <v>233846210</v>
      </c>
      <c r="L9" s="45">
        <f>SUM('Zał. Nr 1'!E7,'Zał. Nr 1'!E19)</f>
        <v>99053748.45</v>
      </c>
    </row>
    <row r="10" spans="1:12" ht="12.75">
      <c r="A10" s="46">
        <v>1</v>
      </c>
      <c r="B10" s="47" t="s">
        <v>48</v>
      </c>
      <c r="C10" s="48" t="s">
        <v>49</v>
      </c>
      <c r="D10" s="49">
        <v>50196873</v>
      </c>
      <c r="E10" s="22" t="e">
        <f>D10*100/#REF!</f>
        <v>#VALUE!</v>
      </c>
      <c r="F10" s="22">
        <f>39060121+11136752</f>
        <v>50196873</v>
      </c>
      <c r="G10" s="22">
        <f>16704689+4762811</f>
        <v>21467500</v>
      </c>
      <c r="H10" s="22">
        <f>(G10*100)/F10</f>
        <v>42.766608190912606</v>
      </c>
      <c r="J10" s="45">
        <f>D9-J9</f>
        <v>0</v>
      </c>
      <c r="K10" s="45">
        <f>K9-F9</f>
        <v>0</v>
      </c>
      <c r="L10" s="45">
        <f>L9-G9</f>
        <v>0</v>
      </c>
    </row>
    <row r="11" spans="1:8" ht="12.75">
      <c r="A11" s="46">
        <v>2</v>
      </c>
      <c r="B11" s="47" t="s">
        <v>50</v>
      </c>
      <c r="C11" s="50" t="s">
        <v>51</v>
      </c>
      <c r="D11" s="49">
        <v>3883000</v>
      </c>
      <c r="E11" s="22" t="e">
        <f>D11*100/#REF!</f>
        <v>#VALUE!</v>
      </c>
      <c r="F11" s="22">
        <f>3210000+673000</f>
        <v>3883000</v>
      </c>
      <c r="G11" s="22">
        <f>2283865.66+478244</f>
        <v>2762109.66</v>
      </c>
      <c r="H11" s="22">
        <f>(G11*100)/F11</f>
        <v>71.1333932526397</v>
      </c>
    </row>
    <row r="12" spans="1:8" ht="12.75">
      <c r="A12" s="46">
        <v>3</v>
      </c>
      <c r="B12" s="47" t="s">
        <v>52</v>
      </c>
      <c r="C12" s="50" t="s">
        <v>53</v>
      </c>
      <c r="D12" s="49">
        <v>25700000</v>
      </c>
      <c r="E12" s="22" t="e">
        <f>D12*100/#REF!</f>
        <v>#VALUE!</v>
      </c>
      <c r="F12" s="22">
        <f>22000000+3700000</f>
        <v>25700000</v>
      </c>
      <c r="G12" s="22">
        <f>10692441.75+2348448.58</f>
        <v>13040890.33</v>
      </c>
      <c r="H12" s="22">
        <f>(G12*100)/F12</f>
        <v>50.742763929961086</v>
      </c>
    </row>
    <row r="13" spans="1:8" ht="12.75">
      <c r="A13" s="46">
        <v>4</v>
      </c>
      <c r="B13" s="47" t="s">
        <v>54</v>
      </c>
      <c r="C13" s="50" t="s">
        <v>55</v>
      </c>
      <c r="D13" s="49">
        <v>102800</v>
      </c>
      <c r="E13" s="22" t="e">
        <f>D13*100/#REF!</f>
        <v>#VALUE!</v>
      </c>
      <c r="F13" s="22">
        <f>2800+100000</f>
        <v>102800</v>
      </c>
      <c r="G13" s="22">
        <f>892.5+73597.65</f>
        <v>74490.15</v>
      </c>
      <c r="H13" s="22">
        <f>(G13*100)/F13</f>
        <v>72.4612354085603</v>
      </c>
    </row>
    <row r="14" spans="1:8" ht="12.75">
      <c r="A14" s="46">
        <v>5</v>
      </c>
      <c r="B14" s="47" t="s">
        <v>56</v>
      </c>
      <c r="C14" s="50" t="s">
        <v>57</v>
      </c>
      <c r="D14" s="49">
        <v>10870</v>
      </c>
      <c r="E14" s="22" t="e">
        <f>D14*100/#REF!</f>
        <v>#VALUE!</v>
      </c>
      <c r="F14" s="22">
        <f>10600+270</f>
        <v>10870</v>
      </c>
      <c r="G14" s="22">
        <f>10028.2+291.41</f>
        <v>10319.61</v>
      </c>
      <c r="H14" s="22">
        <f>(G14*100)/F14</f>
        <v>94.93661453541858</v>
      </c>
    </row>
    <row r="15" spans="1:8" ht="12.75">
      <c r="A15" s="46">
        <v>6</v>
      </c>
      <c r="B15" s="47" t="s">
        <v>58</v>
      </c>
      <c r="C15" s="50" t="s">
        <v>59</v>
      </c>
      <c r="D15" s="49">
        <v>600000</v>
      </c>
      <c r="E15" s="22" t="e">
        <f>D15*100/#REF!</f>
        <v>#VALUE!</v>
      </c>
      <c r="F15" s="22">
        <f>300000+300000</f>
        <v>600000</v>
      </c>
      <c r="G15" s="22">
        <f>203424.05+308664.29</f>
        <v>512088.33999999997</v>
      </c>
      <c r="H15" s="22">
        <f>(G15*100)/F15</f>
        <v>85.34805666666666</v>
      </c>
    </row>
    <row r="16" spans="1:8" ht="45" customHeight="1">
      <c r="A16" s="46">
        <v>7</v>
      </c>
      <c r="B16" s="47" t="s">
        <v>60</v>
      </c>
      <c r="C16" s="50" t="s">
        <v>61</v>
      </c>
      <c r="D16" s="49">
        <v>170850</v>
      </c>
      <c r="E16" s="22" t="e">
        <f>D16*100/#REF!</f>
        <v>#VALUE!</v>
      </c>
      <c r="F16" s="22">
        <v>170850</v>
      </c>
      <c r="G16" s="22">
        <v>84130.92</v>
      </c>
      <c r="H16" s="22">
        <f>(G16*100)/F16</f>
        <v>49.2425636523266</v>
      </c>
    </row>
    <row r="17" spans="1:8" ht="15.75" customHeight="1">
      <c r="A17" s="46">
        <v>8</v>
      </c>
      <c r="B17" s="47" t="s">
        <v>62</v>
      </c>
      <c r="C17" s="50" t="s">
        <v>63</v>
      </c>
      <c r="D17" s="49">
        <v>200000</v>
      </c>
      <c r="E17" s="22" t="e">
        <f>D17*100/#REF!</f>
        <v>#VALUE!</v>
      </c>
      <c r="F17" s="22">
        <v>200000</v>
      </c>
      <c r="G17" s="22">
        <v>139686.77</v>
      </c>
      <c r="H17" s="22">
        <f>(G17*100)/F17</f>
        <v>69.84338499999998</v>
      </c>
    </row>
    <row r="18" spans="1:8" ht="15.75" customHeight="1">
      <c r="A18" s="46">
        <v>9</v>
      </c>
      <c r="B18" s="47" t="s">
        <v>64</v>
      </c>
      <c r="C18" s="50" t="s">
        <v>65</v>
      </c>
      <c r="D18" s="49">
        <v>0</v>
      </c>
      <c r="E18" s="22">
        <v>0</v>
      </c>
      <c r="F18" s="22">
        <v>0</v>
      </c>
      <c r="G18" s="22">
        <v>61.6</v>
      </c>
      <c r="H18" s="22">
        <v>0</v>
      </c>
    </row>
    <row r="19" spans="1:8" ht="12.75">
      <c r="A19" s="46">
        <v>10</v>
      </c>
      <c r="B19" s="47" t="s">
        <v>66</v>
      </c>
      <c r="C19" s="50" t="s">
        <v>67</v>
      </c>
      <c r="D19" s="49">
        <v>700000</v>
      </c>
      <c r="E19" s="22" t="e">
        <f>D19*100/#REF!</f>
        <v>#VALUE!</v>
      </c>
      <c r="F19" s="22">
        <v>700000</v>
      </c>
      <c r="G19" s="22">
        <v>437041.77</v>
      </c>
      <c r="H19" s="22">
        <f>(G19*100)/F19</f>
        <v>62.43453857142857</v>
      </c>
    </row>
    <row r="20" spans="1:8" ht="12.75">
      <c r="A20" s="46">
        <v>11</v>
      </c>
      <c r="B20" s="47" t="s">
        <v>68</v>
      </c>
      <c r="C20" s="50" t="s">
        <v>69</v>
      </c>
      <c r="D20" s="49">
        <v>2800000</v>
      </c>
      <c r="E20" s="22" t="e">
        <f>D20*100/#REF!</f>
        <v>#VALUE!</v>
      </c>
      <c r="F20" s="22">
        <v>2800000</v>
      </c>
      <c r="G20" s="22">
        <v>907632.28</v>
      </c>
      <c r="H20" s="22">
        <f>(G20*100)/F20</f>
        <v>32.415438571428574</v>
      </c>
    </row>
    <row r="21" spans="1:8" ht="12.75">
      <c r="A21" s="46">
        <v>12</v>
      </c>
      <c r="B21" s="47" t="s">
        <v>70</v>
      </c>
      <c r="C21" s="50" t="s">
        <v>71</v>
      </c>
      <c r="D21" s="49">
        <v>620000</v>
      </c>
      <c r="E21" s="22" t="e">
        <f>D21*100/#REF!</f>
        <v>#VALUE!</v>
      </c>
      <c r="F21" s="22">
        <v>620000</v>
      </c>
      <c r="G21" s="22">
        <v>219381.5</v>
      </c>
      <c r="H21" s="22">
        <f>(G21*100)/F21</f>
        <v>35.384112903225805</v>
      </c>
    </row>
    <row r="22" spans="1:8" ht="12.75">
      <c r="A22" s="46">
        <v>13</v>
      </c>
      <c r="B22" s="47" t="s">
        <v>72</v>
      </c>
      <c r="C22" s="50" t="s">
        <v>73</v>
      </c>
      <c r="D22" s="51">
        <v>60000</v>
      </c>
      <c r="E22" s="22" t="e">
        <f>D22*100/#REF!</f>
        <v>#VALUE!</v>
      </c>
      <c r="F22" s="22">
        <f>60000</f>
        <v>60000</v>
      </c>
      <c r="G22" s="22">
        <f>56179</f>
        <v>56179</v>
      </c>
      <c r="H22" s="22">
        <f>(G22*100)/F22</f>
        <v>93.63166666666666</v>
      </c>
    </row>
    <row r="23" spans="1:8" ht="45.75" customHeight="1">
      <c r="A23" s="46">
        <v>14</v>
      </c>
      <c r="B23" s="47" t="s">
        <v>74</v>
      </c>
      <c r="C23" s="50" t="s">
        <v>75</v>
      </c>
      <c r="D23" s="49">
        <v>1576300</v>
      </c>
      <c r="E23" s="22" t="e">
        <f>D23*100/#REF!</f>
        <v>#VALUE!</v>
      </c>
      <c r="F23" s="22">
        <v>1576300</v>
      </c>
      <c r="G23" s="22">
        <v>1401872.24</v>
      </c>
      <c r="H23" s="22">
        <f>(G23*100)/F23</f>
        <v>88.93435513544377</v>
      </c>
    </row>
    <row r="24" spans="1:8" ht="31.5" customHeight="1">
      <c r="A24" s="46">
        <v>15</v>
      </c>
      <c r="B24" s="47" t="s">
        <v>76</v>
      </c>
      <c r="C24" s="50" t="s">
        <v>77</v>
      </c>
      <c r="D24" s="49">
        <v>1100000</v>
      </c>
      <c r="E24" s="22" t="e">
        <f>D24*100/#REF!</f>
        <v>#VALUE!</v>
      </c>
      <c r="F24" s="22">
        <v>1100000</v>
      </c>
      <c r="G24" s="22">
        <v>804093.67</v>
      </c>
      <c r="H24" s="22">
        <f>(G24*100)/F24</f>
        <v>73.09942454545454</v>
      </c>
    </row>
    <row r="25" spans="1:8" ht="12.75">
      <c r="A25" s="46">
        <v>16</v>
      </c>
      <c r="B25" s="47" t="s">
        <v>78</v>
      </c>
      <c r="C25" s="50" t="s">
        <v>79</v>
      </c>
      <c r="D25" s="49">
        <v>1000000</v>
      </c>
      <c r="E25" s="22" t="e">
        <f>D25*100/#REF!</f>
        <v>#VALUE!</v>
      </c>
      <c r="F25" s="22">
        <f>72000+928000</f>
        <v>1000000</v>
      </c>
      <c r="G25" s="22">
        <f>2648668.3+861690.84</f>
        <v>3510359.1399999997</v>
      </c>
      <c r="H25" s="22">
        <f>(G25*100)/F25</f>
        <v>351.03591399999993</v>
      </c>
    </row>
    <row r="26" spans="1:8" ht="12.75">
      <c r="A26" s="46">
        <v>17</v>
      </c>
      <c r="B26" s="47" t="s">
        <v>80</v>
      </c>
      <c r="C26" s="50" t="s">
        <v>81</v>
      </c>
      <c r="D26" s="49">
        <v>5100000</v>
      </c>
      <c r="E26" s="22"/>
      <c r="F26" s="22">
        <v>5100000</v>
      </c>
      <c r="G26" s="22">
        <v>2651562.49</v>
      </c>
      <c r="H26" s="22">
        <f>(G26*100)/F26</f>
        <v>51.99142137254903</v>
      </c>
    </row>
    <row r="27" spans="1:8" ht="24" customHeight="1">
      <c r="A27" s="46">
        <v>18</v>
      </c>
      <c r="B27" s="47" t="s">
        <v>82</v>
      </c>
      <c r="C27" s="50" t="s">
        <v>83</v>
      </c>
      <c r="D27" s="49">
        <v>1500</v>
      </c>
      <c r="E27" s="22" t="e">
        <f>D27*100/#REF!</f>
        <v>#VALUE!</v>
      </c>
      <c r="F27" s="22">
        <v>1500</v>
      </c>
      <c r="G27" s="22">
        <v>341</v>
      </c>
      <c r="H27" s="22">
        <f>(G27*100)/F27</f>
        <v>22.733333333333334</v>
      </c>
    </row>
    <row r="28" spans="1:8" ht="12.75">
      <c r="A28" s="46">
        <v>19</v>
      </c>
      <c r="B28" s="47" t="s">
        <v>84</v>
      </c>
      <c r="C28" s="50" t="s">
        <v>85</v>
      </c>
      <c r="D28" s="49">
        <v>150000</v>
      </c>
      <c r="E28" s="22" t="e">
        <f>D28*100/#REF!</f>
        <v>#VALUE!</v>
      </c>
      <c r="F28" s="22">
        <f>150000</f>
        <v>150000</v>
      </c>
      <c r="G28" s="22">
        <f>50+55584.07+4427.1</f>
        <v>60061.17</v>
      </c>
      <c r="H28" s="22">
        <f>(G28*100)/F28</f>
        <v>40.04078</v>
      </c>
    </row>
    <row r="29" spans="1:8" ht="12.75">
      <c r="A29" s="46">
        <v>20</v>
      </c>
      <c r="B29" s="47" t="s">
        <v>86</v>
      </c>
      <c r="C29" s="50" t="s">
        <v>87</v>
      </c>
      <c r="D29" s="49">
        <v>46000</v>
      </c>
      <c r="E29" s="22" t="e">
        <f>D29*100/#REF!</f>
        <v>#VALUE!</v>
      </c>
      <c r="F29" s="22">
        <f>46000</f>
        <v>46000</v>
      </c>
      <c r="G29" s="22">
        <f>36321.7+48.6+26.4</f>
        <v>36396.7</v>
      </c>
      <c r="H29" s="22">
        <f>(G29*100)/F29</f>
        <v>79.1232608695652</v>
      </c>
    </row>
    <row r="30" spans="1:8" ht="12.75">
      <c r="A30" s="46">
        <v>21</v>
      </c>
      <c r="B30" s="47" t="s">
        <v>88</v>
      </c>
      <c r="C30" s="50" t="s">
        <v>89</v>
      </c>
      <c r="D30" s="49">
        <v>1143900</v>
      </c>
      <c r="E30" s="22" t="e">
        <f>D30*100/#REF!</f>
        <v>#VALUE!</v>
      </c>
      <c r="F30" s="22">
        <f>750000+5880000+18900+65000+35000+8000+20000+92000+25000+15000+115000</f>
        <v>7023900</v>
      </c>
      <c r="G30" s="22">
        <f>194.71+357674.14+1986997.92+5246.31+61548.18+43313.93+14936.32+13760.33+54027.51+9548.23+18256.24+34106.97+1246.6</f>
        <v>2600857.3900000006</v>
      </c>
      <c r="H30" s="22">
        <f>(G30*100)/F30</f>
        <v>37.02867908142201</v>
      </c>
    </row>
    <row r="31" spans="1:8" ht="12.75">
      <c r="A31" s="46">
        <v>22</v>
      </c>
      <c r="B31" s="47" t="s">
        <v>90</v>
      </c>
      <c r="C31" s="50" t="s">
        <v>91</v>
      </c>
      <c r="D31" s="49">
        <v>300000</v>
      </c>
      <c r="E31" s="22" t="e">
        <f>D31*100/#REF!</f>
        <v>#VALUE!</v>
      </c>
      <c r="F31" s="22">
        <v>300000</v>
      </c>
      <c r="G31" s="22">
        <v>96916.2</v>
      </c>
      <c r="H31" s="22">
        <f>(G31*100)/F31</f>
        <v>32.3054</v>
      </c>
    </row>
    <row r="32" spans="1:8" ht="60" customHeight="1">
      <c r="A32" s="46">
        <v>23</v>
      </c>
      <c r="B32" s="47" t="s">
        <v>92</v>
      </c>
      <c r="C32" s="50" t="s">
        <v>93</v>
      </c>
      <c r="D32" s="49">
        <v>17800000</v>
      </c>
      <c r="E32" s="22" t="e">
        <f>D32*100/#REF!</f>
        <v>#VALUE!</v>
      </c>
      <c r="F32" s="22">
        <v>14627148</v>
      </c>
      <c r="G32" s="22">
        <v>662817.2</v>
      </c>
      <c r="H32" s="22">
        <f>(G32*100)/F32</f>
        <v>4.531417881325874</v>
      </c>
    </row>
    <row r="33" spans="1:8" ht="12.75">
      <c r="A33" s="46">
        <v>24</v>
      </c>
      <c r="B33" s="52" t="s">
        <v>94</v>
      </c>
      <c r="C33" s="53" t="s">
        <v>95</v>
      </c>
      <c r="D33" s="54">
        <v>2196088</v>
      </c>
      <c r="E33" s="55" t="e">
        <f>D33*100/#REF!</f>
        <v>#VALUE!</v>
      </c>
      <c r="F33" s="22">
        <f>2500+400000+826313+800+96000+390000+38500+312475+35000+1000+500+2000+91000+66860</f>
        <v>2262948</v>
      </c>
      <c r="G33" s="22">
        <f>1137.66+212663.5+451577.13+368.4+60362+218123.76+17586.78+187312.49+25718.43+2842.74+832+5073.68+6533.38+9.1+55025.2+101537</f>
        <v>1346703.25</v>
      </c>
      <c r="H33" s="22">
        <f>(G33*100)/F33</f>
        <v>59.5110117422053</v>
      </c>
    </row>
    <row r="34" spans="1:8" ht="12.75">
      <c r="A34" s="46">
        <v>25</v>
      </c>
      <c r="B34" s="52" t="s">
        <v>96</v>
      </c>
      <c r="C34" s="53" t="s">
        <v>97</v>
      </c>
      <c r="D34" s="54">
        <v>0</v>
      </c>
      <c r="E34" s="55"/>
      <c r="F34" s="22">
        <v>0</v>
      </c>
      <c r="G34" s="22">
        <v>149.85</v>
      </c>
      <c r="H34" s="22">
        <v>0</v>
      </c>
    </row>
    <row r="35" spans="1:8" ht="12.75">
      <c r="A35" s="46">
        <v>26</v>
      </c>
      <c r="B35" s="56" t="s">
        <v>98</v>
      </c>
      <c r="C35" s="50" t="s">
        <v>99</v>
      </c>
      <c r="D35" s="49">
        <v>1306300</v>
      </c>
      <c r="E35" s="22" t="e">
        <f>D35*100/#REF!</f>
        <v>#VALUE!</v>
      </c>
      <c r="F35" s="22">
        <f>52000+4000+500000+150000+600300</f>
        <v>1306300</v>
      </c>
      <c r="G35" s="22">
        <f>24303.25+2650.84+1679.9+72208.48+86033.95+315503.24</f>
        <v>502379.66</v>
      </c>
      <c r="H35" s="22">
        <f>(G35*100)/F35</f>
        <v>38.45821480517492</v>
      </c>
    </row>
    <row r="36" spans="1:8" ht="12.75">
      <c r="A36" s="46">
        <v>27</v>
      </c>
      <c r="B36" s="56" t="s">
        <v>100</v>
      </c>
      <c r="C36" s="50" t="s">
        <v>101</v>
      </c>
      <c r="D36" s="49">
        <v>173400</v>
      </c>
      <c r="E36" s="22" t="e">
        <f>D36*100/#REF!</f>
        <v>#VALUE!</v>
      </c>
      <c r="F36" s="22">
        <f>150000+21000+1200+500+700</f>
        <v>173400</v>
      </c>
      <c r="G36" s="22">
        <f>1096.8+37554.83+254.1+5502.09+552.37+322.93+94.31+311.07+214.29+73.01+1094.07+114.76+240.95+345.3+189.57</f>
        <v>47960.45000000001</v>
      </c>
      <c r="H36" s="22">
        <f>(G36*100)/F36</f>
        <v>27.65885236447521</v>
      </c>
    </row>
    <row r="37" spans="1:8" ht="12.75">
      <c r="A37" s="46">
        <v>28</v>
      </c>
      <c r="B37" s="56" t="s">
        <v>102</v>
      </c>
      <c r="C37" s="50" t="s">
        <v>103</v>
      </c>
      <c r="D37" s="49">
        <v>0</v>
      </c>
      <c r="E37" s="22"/>
      <c r="F37" s="22">
        <f>1000+55000</f>
        <v>56000</v>
      </c>
      <c r="G37" s="22">
        <f>1000+14625</f>
        <v>15625</v>
      </c>
      <c r="H37" s="22">
        <f>(G37*100)/F37</f>
        <v>27.901785714285715</v>
      </c>
    </row>
    <row r="38" spans="1:8" ht="12.75">
      <c r="A38" s="46">
        <v>29</v>
      </c>
      <c r="B38" s="57" t="s">
        <v>104</v>
      </c>
      <c r="C38" s="58" t="s">
        <v>105</v>
      </c>
      <c r="D38" s="59">
        <v>733150</v>
      </c>
      <c r="E38" s="60" t="e">
        <f>D38*100/#REF!</f>
        <v>#VALUE!</v>
      </c>
      <c r="F38" s="60">
        <f>6000+3000+40000+2000+7000+4200+12000+100000+50+150+1100+100+150+1000+526400+110000</f>
        <v>813150</v>
      </c>
      <c r="G38" s="60">
        <f>800+89449.94+101299.18+13953.01+65639.91+8070+8898.71+18207.75+200+288.24+6695.59+1188.24+7307.73+6441.68+2923.99+16+61+76969.34+593.94+85+242.39+83.63+111.93+1553.95+508.29+1908.95+3799.2+46.67+25244.2+4306.82+224.75+317.47+332836.9+110000+58113.2</f>
        <v>948387.6000000001</v>
      </c>
      <c r="H38" s="60">
        <f>(G38*100)/F38</f>
        <v>116.63132263420034</v>
      </c>
    </row>
    <row r="39" spans="1:8" ht="70.5" customHeight="1">
      <c r="A39" s="46">
        <v>30</v>
      </c>
      <c r="B39" s="47" t="s">
        <v>106</v>
      </c>
      <c r="C39" s="50" t="s">
        <v>107</v>
      </c>
      <c r="D39" s="51">
        <v>0</v>
      </c>
      <c r="E39" s="22"/>
      <c r="F39" s="22">
        <v>110000</v>
      </c>
      <c r="G39" s="22">
        <v>110000</v>
      </c>
      <c r="H39" s="22">
        <f>(G39*100)/F39</f>
        <v>100</v>
      </c>
    </row>
    <row r="40" spans="1:8" ht="12.75">
      <c r="A40" s="46">
        <v>31</v>
      </c>
      <c r="B40" s="61" t="s">
        <v>108</v>
      </c>
      <c r="C40" s="53" t="s">
        <v>109</v>
      </c>
      <c r="D40" s="62">
        <v>0</v>
      </c>
      <c r="E40" s="55"/>
      <c r="F40" s="55">
        <v>5000</v>
      </c>
      <c r="G40" s="55">
        <v>0</v>
      </c>
      <c r="H40" s="55">
        <f>(G40*100)/F40</f>
        <v>0</v>
      </c>
    </row>
    <row r="41" spans="1:8" ht="12.75">
      <c r="A41" s="46">
        <v>32</v>
      </c>
      <c r="B41" s="47" t="s">
        <v>110</v>
      </c>
      <c r="C41" s="50" t="s">
        <v>111</v>
      </c>
      <c r="D41" s="51">
        <v>400000</v>
      </c>
      <c r="E41" s="22"/>
      <c r="F41" s="22">
        <f>350000+50000</f>
        <v>400000</v>
      </c>
      <c r="G41" s="22">
        <f>247413.36+98339.03</f>
        <v>345752.39</v>
      </c>
      <c r="H41" s="22">
        <f>(G41*100)/F41</f>
        <v>86.4380975</v>
      </c>
    </row>
    <row r="42" spans="1:8" ht="65.25" customHeight="1">
      <c r="A42" s="46">
        <v>33</v>
      </c>
      <c r="B42" s="47" t="s">
        <v>112</v>
      </c>
      <c r="C42" s="50" t="s">
        <v>113</v>
      </c>
      <c r="D42" s="51">
        <v>328000</v>
      </c>
      <c r="E42" s="22"/>
      <c r="F42" s="22">
        <f>320000+8000</f>
        <v>328000</v>
      </c>
      <c r="G42" s="22">
        <f>350401.08+9772.67</f>
        <v>360173.75</v>
      </c>
      <c r="H42" s="22">
        <f>(G42*100)/F42</f>
        <v>109.80907012195122</v>
      </c>
    </row>
    <row r="43" spans="1:8" ht="34.5" customHeight="1">
      <c r="A43" s="46">
        <v>34</v>
      </c>
      <c r="B43" s="47" t="s">
        <v>114</v>
      </c>
      <c r="C43" s="50" t="s">
        <v>115</v>
      </c>
      <c r="D43" s="51">
        <v>0</v>
      </c>
      <c r="E43" s="22"/>
      <c r="F43" s="22">
        <v>0</v>
      </c>
      <c r="G43" s="22">
        <v>46071</v>
      </c>
      <c r="H43" s="22">
        <v>0</v>
      </c>
    </row>
    <row r="44" spans="1:8" ht="12.75">
      <c r="A44" s="46">
        <v>35</v>
      </c>
      <c r="B44" s="47" t="s">
        <v>116</v>
      </c>
      <c r="C44" s="50" t="s">
        <v>117</v>
      </c>
      <c r="D44" s="51">
        <v>179800</v>
      </c>
      <c r="E44" s="22"/>
      <c r="F44" s="22">
        <v>179800</v>
      </c>
      <c r="G44" s="22">
        <v>163884</v>
      </c>
      <c r="H44" s="22">
        <f>(G44*100)/F44</f>
        <v>91.14794215795328</v>
      </c>
    </row>
    <row r="45" spans="1:8" ht="50.25" customHeight="1">
      <c r="A45" s="46">
        <v>36</v>
      </c>
      <c r="B45" s="47" t="s">
        <v>118</v>
      </c>
      <c r="C45" s="50" t="s">
        <v>119</v>
      </c>
      <c r="D45" s="51">
        <v>0</v>
      </c>
      <c r="E45" s="22"/>
      <c r="F45" s="22">
        <v>234320</v>
      </c>
      <c r="G45" s="22">
        <v>0</v>
      </c>
      <c r="H45" s="22">
        <f>(G45*100)/F45</f>
        <v>0</v>
      </c>
    </row>
    <row r="46" spans="1:8" ht="48.75" customHeight="1">
      <c r="A46" s="46">
        <v>37</v>
      </c>
      <c r="B46" s="47" t="s">
        <v>120</v>
      </c>
      <c r="C46" s="50" t="s">
        <v>121</v>
      </c>
      <c r="D46" s="51">
        <v>0</v>
      </c>
      <c r="E46" s="22"/>
      <c r="F46" s="22">
        <v>14999</v>
      </c>
      <c r="G46" s="22">
        <v>14999.33</v>
      </c>
      <c r="H46" s="22">
        <f>(G46*100)/F46</f>
        <v>100.00220014667644</v>
      </c>
    </row>
    <row r="47" spans="1:8" ht="52.5" customHeight="1">
      <c r="A47" s="46">
        <v>38</v>
      </c>
      <c r="B47" s="47" t="s">
        <v>122</v>
      </c>
      <c r="C47" s="50" t="s">
        <v>123</v>
      </c>
      <c r="D47" s="51">
        <v>0</v>
      </c>
      <c r="E47" s="22"/>
      <c r="F47" s="22">
        <v>12996</v>
      </c>
      <c r="G47" s="22">
        <v>0</v>
      </c>
      <c r="H47" s="22">
        <f>(G47*100)/F47</f>
        <v>0</v>
      </c>
    </row>
    <row r="48" spans="1:8" ht="12.75">
      <c r="A48" s="46">
        <v>39</v>
      </c>
      <c r="B48" s="47" t="s">
        <v>124</v>
      </c>
      <c r="C48" s="50" t="s">
        <v>125</v>
      </c>
      <c r="D48" s="51">
        <v>0</v>
      </c>
      <c r="E48" s="22"/>
      <c r="F48" s="22">
        <v>16000</v>
      </c>
      <c r="G48" s="22">
        <v>16000</v>
      </c>
      <c r="H48" s="22">
        <f>(G48*100)/F48</f>
        <v>100</v>
      </c>
    </row>
    <row r="49" spans="1:8" ht="95.25" customHeight="1">
      <c r="A49" s="46">
        <v>40</v>
      </c>
      <c r="B49" s="47" t="s">
        <v>126</v>
      </c>
      <c r="C49" s="50" t="s">
        <v>127</v>
      </c>
      <c r="D49" s="51">
        <v>0</v>
      </c>
      <c r="E49" s="22"/>
      <c r="F49" s="22">
        <v>149700</v>
      </c>
      <c r="G49" s="22">
        <v>75000</v>
      </c>
      <c r="H49" s="22">
        <f>(G49*100)/F49</f>
        <v>50.100200400801604</v>
      </c>
    </row>
    <row r="50" spans="1:8" ht="12.75">
      <c r="A50" s="46">
        <v>41</v>
      </c>
      <c r="B50" s="47" t="s">
        <v>128</v>
      </c>
      <c r="C50" s="50" t="s">
        <v>129</v>
      </c>
      <c r="D50" s="51">
        <v>0</v>
      </c>
      <c r="E50" s="22"/>
      <c r="F50" s="22">
        <v>0</v>
      </c>
      <c r="G50" s="22">
        <v>-1657.48</v>
      </c>
      <c r="H50" s="22">
        <v>0</v>
      </c>
    </row>
    <row r="51" spans="1:8" ht="12.75">
      <c r="A51" s="46">
        <v>42</v>
      </c>
      <c r="B51" s="47" t="s">
        <v>130</v>
      </c>
      <c r="C51" s="50" t="s">
        <v>131</v>
      </c>
      <c r="D51" s="51">
        <v>0</v>
      </c>
      <c r="E51" s="22"/>
      <c r="F51" s="22">
        <f>4492852+868000</f>
        <v>5360852</v>
      </c>
      <c r="G51" s="22">
        <f>2528132.02</f>
        <v>2528132.02</v>
      </c>
      <c r="H51" s="22">
        <f>(G51*100)/F51</f>
        <v>47.159145971573174</v>
      </c>
    </row>
    <row r="52" spans="1:8" ht="12.75">
      <c r="A52" s="46">
        <v>43</v>
      </c>
      <c r="B52" s="47" t="s">
        <v>132</v>
      </c>
      <c r="C52" s="50" t="s">
        <v>133</v>
      </c>
      <c r="D52" s="51">
        <v>0</v>
      </c>
      <c r="E52" s="22"/>
      <c r="F52" s="22">
        <v>227</v>
      </c>
      <c r="G52" s="22">
        <v>227</v>
      </c>
      <c r="H52" s="22">
        <f>(G52*100)/F52</f>
        <v>100</v>
      </c>
    </row>
    <row r="53" spans="1:8" ht="29.25" customHeight="1">
      <c r="A53" s="46">
        <v>44</v>
      </c>
      <c r="B53" s="52" t="s">
        <v>134</v>
      </c>
      <c r="C53" s="50" t="s">
        <v>135</v>
      </c>
      <c r="D53" s="49">
        <v>39812030</v>
      </c>
      <c r="E53" s="49" t="e">
        <f>SUM('Zał. Nr 1'!#REF!)</f>
        <v>#REF!</v>
      </c>
      <c r="F53" s="49">
        <f>SUM('Zał. Nr 1'!D9:D13)</f>
        <v>40584191</v>
      </c>
      <c r="G53" s="49">
        <f>SUM('Zał. Nr 1'!E9:E13)</f>
        <v>24629471</v>
      </c>
      <c r="H53" s="22">
        <f>(G53*100)/F53</f>
        <v>60.687352373243066</v>
      </c>
    </row>
    <row r="54" spans="1:8" ht="22.5" customHeight="1">
      <c r="A54" s="46">
        <v>45</v>
      </c>
      <c r="B54" s="56"/>
      <c r="C54" s="50" t="s">
        <v>136</v>
      </c>
      <c r="D54" s="49">
        <v>23560180</v>
      </c>
      <c r="E54" s="49" t="e">
        <f>SUM('Zał. Nr 1'!#REF!)</f>
        <v>#REF!</v>
      </c>
      <c r="F54" s="49">
        <f>1974434+4299364+17365346+709632</f>
        <v>24348776</v>
      </c>
      <c r="G54" s="49">
        <f>6240667+354816+2506896+13409+995588+236014</f>
        <v>10347390</v>
      </c>
      <c r="H54" s="22">
        <f>(G54*100)/F54</f>
        <v>42.49655095599056</v>
      </c>
    </row>
    <row r="55" spans="1:8" ht="18" customHeight="1">
      <c r="A55" s="46">
        <v>46</v>
      </c>
      <c r="B55" s="56"/>
      <c r="C55" s="63" t="s">
        <v>24</v>
      </c>
      <c r="D55" s="43">
        <v>35500000</v>
      </c>
      <c r="E55" s="43" t="e">
        <f>SUM('Zał. Nr 1'!#REF!)</f>
        <v>#REF!</v>
      </c>
      <c r="F55" s="43">
        <f>SUM('Zał. Nr 1'!D19)</f>
        <v>41520310</v>
      </c>
      <c r="G55" s="43">
        <f>SUM('Zał. Nr 1'!E19)</f>
        <v>6020310.5</v>
      </c>
      <c r="H55" s="44">
        <f>(G55*100)/F55</f>
        <v>14.499676182571855</v>
      </c>
    </row>
    <row r="56" spans="4:8" ht="18.75" customHeight="1">
      <c r="D56" s="31">
        <f>217451041-D9</f>
        <v>0</v>
      </c>
      <c r="E56" s="64"/>
      <c r="F56" s="64">
        <f>192325900+35500000-F9</f>
        <v>-6020310</v>
      </c>
      <c r="G56" s="64">
        <f>93033437.95-G9</f>
        <v>-6020310.5</v>
      </c>
      <c r="H56" s="64"/>
    </row>
    <row r="57" spans="4:8" ht="12.75">
      <c r="D57" s="31"/>
      <c r="E57" s="64"/>
      <c r="F57" s="64">
        <f>F56+6020310</f>
        <v>0</v>
      </c>
      <c r="G57" s="64"/>
      <c r="H57" s="64"/>
    </row>
    <row r="58" spans="4:8" ht="12.75">
      <c r="D58" s="65"/>
      <c r="E58" s="64"/>
      <c r="F58" s="66"/>
      <c r="G58" s="66"/>
      <c r="H58" s="66"/>
    </row>
    <row r="59" spans="4:8" ht="12.75">
      <c r="D59" s="65"/>
      <c r="E59" s="64"/>
      <c r="F59" s="66"/>
      <c r="G59" s="66"/>
      <c r="H59" s="66"/>
    </row>
    <row r="60" spans="4:8" ht="12.75">
      <c r="D60" s="65"/>
      <c r="E60" s="64"/>
      <c r="F60" s="66"/>
      <c r="G60" s="66"/>
      <c r="H60" s="66"/>
    </row>
    <row r="61" spans="4:8" ht="12.75">
      <c r="D61" s="31"/>
      <c r="E61" s="64"/>
      <c r="F61" s="66"/>
      <c r="G61" s="66"/>
      <c r="H61" s="66"/>
    </row>
    <row r="62" spans="4:8" ht="12.75">
      <c r="D62" s="31"/>
      <c r="E62" s="64"/>
      <c r="F62" s="66"/>
      <c r="G62" s="66"/>
      <c r="H62" s="66"/>
    </row>
    <row r="63" spans="4:8" ht="12.75">
      <c r="D63" s="31"/>
      <c r="E63" s="66"/>
      <c r="F63" s="66"/>
      <c r="G63" s="66"/>
      <c r="H63" s="66"/>
    </row>
    <row r="64" spans="4:8" ht="12.75">
      <c r="D64" s="31"/>
      <c r="E64" s="66"/>
      <c r="F64" s="31"/>
      <c r="G64" s="31"/>
      <c r="H64" s="66"/>
    </row>
    <row r="65" spans="4:8" ht="12.75">
      <c r="D65" s="31"/>
      <c r="E65" s="66"/>
      <c r="F65" s="31"/>
      <c r="G65" s="31"/>
      <c r="H65" s="66"/>
    </row>
    <row r="66" spans="4:8" ht="12.75">
      <c r="D66" s="31"/>
      <c r="E66" s="66"/>
      <c r="F66" s="31"/>
      <c r="G66" s="31"/>
      <c r="H66" s="66"/>
    </row>
    <row r="67" spans="4:7" ht="12.75">
      <c r="D67" s="31"/>
      <c r="E67" s="66"/>
      <c r="F67" s="31"/>
      <c r="G67" s="31"/>
    </row>
    <row r="68" spans="4:7" ht="12.75">
      <c r="D68" s="31"/>
      <c r="E68" s="66"/>
      <c r="F68" s="31"/>
      <c r="G68" s="31"/>
    </row>
    <row r="69" spans="4:7" ht="12.75">
      <c r="D69" s="31"/>
      <c r="E69" s="66"/>
      <c r="F69" s="31"/>
      <c r="G69" s="31"/>
    </row>
    <row r="70" spans="4:7" ht="12.75">
      <c r="D70" s="31"/>
      <c r="E70" s="66"/>
      <c r="F70" s="31"/>
      <c r="G70" s="31"/>
    </row>
    <row r="71" spans="4:7" ht="12.75">
      <c r="D71" s="31"/>
      <c r="E71" s="66"/>
      <c r="F71" s="31"/>
      <c r="G71" s="31"/>
    </row>
    <row r="72" spans="4:7" ht="12.75">
      <c r="D72" s="31"/>
      <c r="E72" s="66"/>
      <c r="F72" s="31"/>
      <c r="G72" s="31"/>
    </row>
    <row r="73" spans="4:7" ht="12.75">
      <c r="D73" s="31"/>
      <c r="E73" s="66"/>
      <c r="F73" s="31"/>
      <c r="G73" s="31"/>
    </row>
    <row r="74" spans="4:7" ht="12.75">
      <c r="D74" s="31"/>
      <c r="E74" s="66"/>
      <c r="F74" s="31"/>
      <c r="G74" s="31"/>
    </row>
    <row r="75" spans="4:7" ht="12.75">
      <c r="D75" s="31"/>
      <c r="E75" s="66"/>
      <c r="F75" s="31"/>
      <c r="G75" s="31"/>
    </row>
    <row r="76" spans="4:7" ht="12.75">
      <c r="D76" s="31"/>
      <c r="E76" s="66"/>
      <c r="F76" s="31"/>
      <c r="G76" s="31"/>
    </row>
    <row r="77" spans="4:7" ht="12.75">
      <c r="D77" s="31"/>
      <c r="E77" s="66"/>
      <c r="F77" s="31"/>
      <c r="G77" s="31"/>
    </row>
    <row r="78" spans="4:7" ht="12.75">
      <c r="D78" s="31"/>
      <c r="E78" s="66"/>
      <c r="F78" s="31"/>
      <c r="G78" s="31"/>
    </row>
    <row r="79" spans="4:7" ht="12.75">
      <c r="D79" s="31"/>
      <c r="E79" s="66"/>
      <c r="F79" s="31"/>
      <c r="G79" s="31"/>
    </row>
    <row r="80" spans="4:7" ht="12.75">
      <c r="D80" s="31"/>
      <c r="E80" s="66"/>
      <c r="F80" s="31"/>
      <c r="G80" s="31"/>
    </row>
    <row r="81" spans="4:7" ht="12.75">
      <c r="D81" s="31"/>
      <c r="E81" s="66"/>
      <c r="F81" s="31"/>
      <c r="G81" s="31"/>
    </row>
    <row r="82" spans="4:7" ht="12.75">
      <c r="D82" s="31"/>
      <c r="E82" s="66"/>
      <c r="F82" s="31"/>
      <c r="G82" s="31"/>
    </row>
    <row r="83" spans="4:7" ht="12.75">
      <c r="D83" s="31"/>
      <c r="E83" s="66"/>
      <c r="F83" s="31"/>
      <c r="G83" s="31"/>
    </row>
    <row r="84" spans="4:7" ht="12.75">
      <c r="D84" s="31"/>
      <c r="E84" s="66"/>
      <c r="F84" s="31"/>
      <c r="G84" s="31"/>
    </row>
    <row r="85" spans="4:7" ht="12.75">
      <c r="D85" s="31"/>
      <c r="E85" s="66"/>
      <c r="F85" s="31"/>
      <c r="G85" s="31"/>
    </row>
    <row r="86" spans="4:7" ht="12.75">
      <c r="D86" s="31"/>
      <c r="E86" s="66"/>
      <c r="F86" s="31"/>
      <c r="G86" s="31"/>
    </row>
    <row r="87" spans="4:7" ht="12.75">
      <c r="D87" s="31"/>
      <c r="E87" s="66"/>
      <c r="F87" s="31"/>
      <c r="G87" s="31"/>
    </row>
    <row r="88" spans="4:7" ht="12.75">
      <c r="D88" s="31"/>
      <c r="E88" s="66"/>
      <c r="F88" s="31"/>
      <c r="G88" s="31"/>
    </row>
    <row r="89" spans="4:7" ht="12.75">
      <c r="D89" s="31"/>
      <c r="E89" s="66"/>
      <c r="F89" s="31"/>
      <c r="G89" s="31"/>
    </row>
    <row r="90" spans="4:7" ht="12.75">
      <c r="D90" s="31"/>
      <c r="E90" s="66"/>
      <c r="F90" s="31"/>
      <c r="G90" s="31"/>
    </row>
    <row r="91" spans="4:7" ht="12.75">
      <c r="D91" s="31"/>
      <c r="E91" s="66"/>
      <c r="F91" s="31"/>
      <c r="G91" s="31"/>
    </row>
    <row r="92" spans="4:7" ht="12.75">
      <c r="D92" s="31"/>
      <c r="E92" s="31"/>
      <c r="F92" s="31"/>
      <c r="G92" s="31"/>
    </row>
    <row r="93" spans="4:7" ht="12.75">
      <c r="D93" s="31"/>
      <c r="E93" s="31"/>
      <c r="F93" s="31"/>
      <c r="G93" s="31"/>
    </row>
    <row r="94" spans="4:7" ht="12.75">
      <c r="D94" s="31"/>
      <c r="E94" s="31"/>
      <c r="F94" s="31"/>
      <c r="G94" s="31"/>
    </row>
    <row r="95" spans="4:7" ht="12.75">
      <c r="D95" s="31"/>
      <c r="E95" s="31"/>
      <c r="F95" s="31"/>
      <c r="G95" s="31"/>
    </row>
    <row r="96" spans="4:7" ht="12.75">
      <c r="D96" s="31"/>
      <c r="E96" s="31"/>
      <c r="F96" s="31"/>
      <c r="G96" s="31"/>
    </row>
    <row r="97" spans="4:7" ht="12.75">
      <c r="D97" s="31"/>
      <c r="E97" s="31"/>
      <c r="F97" s="31"/>
      <c r="G97" s="31"/>
    </row>
    <row r="98" spans="4:7" ht="12.75">
      <c r="D98" s="31"/>
      <c r="E98" s="31"/>
      <c r="F98" s="31"/>
      <c r="G98" s="31"/>
    </row>
    <row r="99" spans="4:7" ht="12.75">
      <c r="D99" s="31"/>
      <c r="E99" s="31"/>
      <c r="F99" s="31"/>
      <c r="G99" s="31"/>
    </row>
    <row r="100" spans="4:7" ht="12.75">
      <c r="D100" s="31"/>
      <c r="E100" s="31"/>
      <c r="F100" s="31"/>
      <c r="G100" s="31"/>
    </row>
    <row r="101" spans="4:7" ht="12.75">
      <c r="D101" s="31"/>
      <c r="E101" s="31"/>
      <c r="F101" s="31"/>
      <c r="G101" s="31"/>
    </row>
    <row r="102" spans="4:7" ht="12.75">
      <c r="D102" s="31"/>
      <c r="E102" s="31"/>
      <c r="F102" s="31"/>
      <c r="G102" s="31"/>
    </row>
    <row r="103" spans="4:7" ht="12.75">
      <c r="D103" s="31"/>
      <c r="E103" s="31"/>
      <c r="F103" s="31"/>
      <c r="G103" s="31"/>
    </row>
    <row r="104" spans="4:7" ht="12.75">
      <c r="D104" s="31"/>
      <c r="E104" s="31"/>
      <c r="F104" s="31"/>
      <c r="G104" s="31"/>
    </row>
    <row r="105" spans="4:7" ht="12.75">
      <c r="D105" s="31"/>
      <c r="E105" s="31"/>
      <c r="F105" s="31"/>
      <c r="G105" s="31"/>
    </row>
    <row r="106" spans="4:7" ht="12.75">
      <c r="D106" s="31"/>
      <c r="E106" s="31"/>
      <c r="F106" s="31"/>
      <c r="G106" s="31"/>
    </row>
    <row r="107" spans="4:7" ht="12.75">
      <c r="D107" s="31"/>
      <c r="E107" s="31"/>
      <c r="F107" s="31"/>
      <c r="G107" s="31"/>
    </row>
    <row r="108" spans="4:7" ht="12.75">
      <c r="D108" s="31"/>
      <c r="E108" s="31"/>
      <c r="F108" s="31"/>
      <c r="G108" s="31"/>
    </row>
    <row r="109" spans="4:7" ht="12.75">
      <c r="D109" s="31"/>
      <c r="E109" s="31"/>
      <c r="F109" s="31"/>
      <c r="G109" s="31"/>
    </row>
    <row r="110" spans="4:7" ht="12.75">
      <c r="D110" s="31"/>
      <c r="E110" s="31"/>
      <c r="F110" s="31"/>
      <c r="G110" s="31"/>
    </row>
    <row r="111" spans="4:7" ht="12.75">
      <c r="D111" s="31"/>
      <c r="E111" s="31"/>
      <c r="F111" s="31"/>
      <c r="G111" s="31"/>
    </row>
    <row r="112" spans="4:7" ht="12.75">
      <c r="D112" s="31"/>
      <c r="E112" s="31"/>
      <c r="F112" s="31"/>
      <c r="G112" s="31"/>
    </row>
    <row r="113" spans="4:7" ht="12.75">
      <c r="D113" s="31"/>
      <c r="E113" s="31"/>
      <c r="F113" s="31"/>
      <c r="G113" s="31"/>
    </row>
    <row r="114" spans="4:7" ht="12.75">
      <c r="D114" s="31"/>
      <c r="E114" s="31"/>
      <c r="F114" s="31"/>
      <c r="G114" s="31"/>
    </row>
    <row r="115" spans="4:7" ht="12.75">
      <c r="D115" s="31"/>
      <c r="E115" s="31"/>
      <c r="F115" s="31"/>
      <c r="G115" s="31"/>
    </row>
    <row r="116" spans="4:7" ht="12.75">
      <c r="D116" s="31"/>
      <c r="E116" s="31"/>
      <c r="F116" s="31"/>
      <c r="G116" s="31"/>
    </row>
    <row r="117" spans="4:7" ht="12.75">
      <c r="D117" s="31"/>
      <c r="E117" s="31"/>
      <c r="F117" s="31"/>
      <c r="G117" s="31"/>
    </row>
    <row r="118" spans="6:7" ht="12.75">
      <c r="F118" s="19"/>
      <c r="G118" s="19"/>
    </row>
    <row r="119" spans="6:7" ht="12.75">
      <c r="F119" s="19"/>
      <c r="G119" s="19"/>
    </row>
    <row r="120" spans="6:7" ht="12.75">
      <c r="F120" s="19"/>
      <c r="G120" s="19"/>
    </row>
    <row r="121" spans="6:7" ht="12.75">
      <c r="F121" s="19"/>
      <c r="G121" s="19"/>
    </row>
    <row r="122" spans="6:7" ht="12.75">
      <c r="F122" s="19"/>
      <c r="G122" s="19"/>
    </row>
    <row r="123" spans="6:7" ht="12.75">
      <c r="F123" s="19"/>
      <c r="G123" s="19"/>
    </row>
    <row r="124" spans="6:7" ht="12.75">
      <c r="F124" s="19"/>
      <c r="G124" s="19"/>
    </row>
    <row r="125" spans="6:7" ht="12.75">
      <c r="F125" s="19"/>
      <c r="G125" s="19"/>
    </row>
    <row r="126" spans="6:7" ht="12.75">
      <c r="F126" s="19"/>
      <c r="G126" s="19"/>
    </row>
    <row r="127" spans="6:7" ht="12.75">
      <c r="F127" s="19"/>
      <c r="G127" s="19"/>
    </row>
    <row r="128" spans="6:7" ht="12.75">
      <c r="F128" s="19"/>
      <c r="G128" s="19"/>
    </row>
    <row r="129" spans="6:7" ht="12.75">
      <c r="F129" s="19"/>
      <c r="G129" s="19"/>
    </row>
    <row r="130" spans="6:7" ht="12.75">
      <c r="F130" s="19"/>
      <c r="G130" s="19"/>
    </row>
    <row r="131" spans="6:7" ht="12.75">
      <c r="F131" s="19"/>
      <c r="G131" s="19"/>
    </row>
    <row r="132" spans="6:7" ht="12.75">
      <c r="F132" s="19"/>
      <c r="G132" s="19"/>
    </row>
    <row r="133" spans="6:7" ht="12.75">
      <c r="F133" s="19"/>
      <c r="G133" s="19"/>
    </row>
    <row r="134" spans="6:7" ht="12.75">
      <c r="F134" s="19"/>
      <c r="G134" s="19"/>
    </row>
    <row r="135" spans="6:7" ht="12.75">
      <c r="F135" s="19"/>
      <c r="G135" s="19"/>
    </row>
    <row r="136" spans="6:7" ht="12.75">
      <c r="F136" s="19"/>
      <c r="G136" s="19"/>
    </row>
    <row r="137" spans="6:7" ht="12.75">
      <c r="F137" s="19"/>
      <c r="G137" s="19"/>
    </row>
    <row r="138" spans="6:7" ht="12.75">
      <c r="F138" s="19"/>
      <c r="G138" s="19"/>
    </row>
    <row r="139" spans="6:7" ht="12.75">
      <c r="F139" s="19"/>
      <c r="G139" s="19"/>
    </row>
    <row r="140" spans="6:7" ht="12.75">
      <c r="F140" s="19"/>
      <c r="G140" s="19"/>
    </row>
    <row r="141" spans="6:7" ht="12.75">
      <c r="F141" s="19"/>
      <c r="G141" s="19"/>
    </row>
    <row r="142" spans="6:7" ht="12.75">
      <c r="F142" s="19"/>
      <c r="G142" s="19"/>
    </row>
    <row r="143" spans="6:7" ht="12.75">
      <c r="F143" s="19"/>
      <c r="G143" s="19"/>
    </row>
    <row r="144" spans="6:7" ht="12.75">
      <c r="F144" s="19"/>
      <c r="G144" s="19"/>
    </row>
    <row r="145" spans="6:7" ht="12.75">
      <c r="F145" s="19"/>
      <c r="G145" s="19"/>
    </row>
    <row r="146" spans="6:7" ht="12.75">
      <c r="F146" s="19"/>
      <c r="G146" s="19"/>
    </row>
    <row r="147" spans="6:7" ht="12.75">
      <c r="F147" s="19"/>
      <c r="G147" s="19"/>
    </row>
    <row r="148" spans="6:7" ht="12.75">
      <c r="F148" s="19"/>
      <c r="G148" s="19"/>
    </row>
    <row r="149" spans="6:7" ht="12.75">
      <c r="F149" s="19"/>
      <c r="G149" s="19"/>
    </row>
    <row r="150" spans="6:7" ht="12.75">
      <c r="F150" s="19"/>
      <c r="G150" s="19"/>
    </row>
    <row r="151" spans="6:7" ht="12.75">
      <c r="F151" s="19"/>
      <c r="G151" s="19"/>
    </row>
    <row r="152" spans="6:7" ht="12.75">
      <c r="F152" s="19"/>
      <c r="G152" s="19"/>
    </row>
    <row r="153" spans="6:7" ht="12.75">
      <c r="F153" s="19"/>
      <c r="G153" s="19"/>
    </row>
    <row r="154" spans="6:7" ht="12.75">
      <c r="F154" s="19"/>
      <c r="G154" s="19"/>
    </row>
    <row r="155" spans="6:7" ht="12.75">
      <c r="F155" s="19"/>
      <c r="G155" s="19"/>
    </row>
    <row r="156" spans="6:7" ht="12.75">
      <c r="F156" s="19"/>
      <c r="G156" s="19"/>
    </row>
    <row r="157" spans="6:7" ht="12.75">
      <c r="F157" s="19"/>
      <c r="G157" s="19"/>
    </row>
    <row r="158" spans="6:7" ht="12.75">
      <c r="F158" s="19"/>
      <c r="G158" s="19"/>
    </row>
    <row r="159" spans="6:7" ht="12.75">
      <c r="F159" s="19"/>
      <c r="G159" s="19"/>
    </row>
    <row r="160" spans="6:7" ht="12.75">
      <c r="F160" s="19"/>
      <c r="G160" s="19"/>
    </row>
    <row r="161" spans="6:7" ht="12.75">
      <c r="F161" s="19"/>
      <c r="G161" s="19"/>
    </row>
    <row r="162" spans="6:7" ht="12.75">
      <c r="F162" s="19"/>
      <c r="G162" s="19"/>
    </row>
    <row r="163" spans="6:7" ht="12.75">
      <c r="F163" s="19"/>
      <c r="G163" s="19"/>
    </row>
    <row r="164" spans="6:7" ht="12.75">
      <c r="F164" s="19"/>
      <c r="G164" s="19"/>
    </row>
    <row r="165" spans="6:7" ht="12.75">
      <c r="F165" s="19"/>
      <c r="G165" s="19"/>
    </row>
    <row r="166" spans="6:7" ht="12.75">
      <c r="F166" s="19"/>
      <c r="G166" s="19"/>
    </row>
    <row r="167" spans="6:7" ht="12.75">
      <c r="F167" s="19"/>
      <c r="G167" s="19"/>
    </row>
    <row r="168" spans="6:7" ht="12.75">
      <c r="F168" s="19"/>
      <c r="G168" s="19"/>
    </row>
    <row r="169" spans="6:7" ht="12.75">
      <c r="F169" s="19"/>
      <c r="G169" s="19"/>
    </row>
    <row r="170" spans="6:7" ht="12.75">
      <c r="F170" s="19"/>
      <c r="G170" s="19"/>
    </row>
    <row r="171" spans="6:7" ht="12.75">
      <c r="F171" s="19"/>
      <c r="G171" s="19"/>
    </row>
    <row r="172" spans="6:7" ht="12.75">
      <c r="F172" s="19"/>
      <c r="G172" s="19"/>
    </row>
    <row r="173" spans="6:7" ht="12.75">
      <c r="F173" s="19"/>
      <c r="G173" s="19"/>
    </row>
    <row r="174" spans="6:7" ht="12.75">
      <c r="F174" s="19"/>
      <c r="G174" s="19"/>
    </row>
    <row r="175" spans="6:7" ht="12.75">
      <c r="F175" s="19"/>
      <c r="G175" s="19"/>
    </row>
    <row r="176" spans="6:7" ht="12.75">
      <c r="F176" s="19"/>
      <c r="G176" s="19"/>
    </row>
    <row r="177" spans="6:7" ht="12.75">
      <c r="F177" s="19"/>
      <c r="G177" s="19"/>
    </row>
    <row r="178" spans="6:7" ht="12.75">
      <c r="F178" s="19"/>
      <c r="G178" s="19"/>
    </row>
    <row r="179" spans="6:7" ht="12.75">
      <c r="F179" s="19"/>
      <c r="G179" s="19"/>
    </row>
    <row r="180" spans="6:7" ht="12.75">
      <c r="F180" s="19"/>
      <c r="G180" s="19"/>
    </row>
    <row r="181" spans="6:7" ht="12.75">
      <c r="F181" s="19"/>
      <c r="G181" s="19"/>
    </row>
    <row r="182" spans="6:7" ht="12.75">
      <c r="F182" s="19"/>
      <c r="G182" s="19"/>
    </row>
    <row r="183" spans="6:7" ht="12.75">
      <c r="F183" s="19"/>
      <c r="G183" s="19"/>
    </row>
    <row r="184" spans="6:7" ht="12.75">
      <c r="F184" s="19"/>
      <c r="G184" s="19"/>
    </row>
    <row r="185" spans="6:7" ht="12.75">
      <c r="F185" s="19"/>
      <c r="G185" s="19"/>
    </row>
  </sheetData>
  <sheetProtection selectLockedCells="1" selectUnlockedCells="1"/>
  <mergeCells count="8">
    <mergeCell ref="A1:H1"/>
    <mergeCell ref="A2:D2"/>
    <mergeCell ref="A3:H3"/>
    <mergeCell ref="A4:H4"/>
    <mergeCell ref="A5:H5"/>
    <mergeCell ref="A6:H6"/>
    <mergeCell ref="A9:C9"/>
    <mergeCell ref="D58:D60"/>
  </mergeCells>
  <printOptions/>
  <pageMargins left="0.5902777777777778" right="0.3902777777777778" top="0.5201388888888889" bottom="0.70972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H182"/>
  <sheetViews>
    <sheetView view="pageBreakPreview" zoomScale="85" zoomScaleNormal="90" zoomScaleSheetLayoutView="85" workbookViewId="0" topLeftCell="A35">
      <selection activeCell="B48" sqref="B48"/>
    </sheetView>
  </sheetViews>
  <sheetFormatPr defaultColWidth="9.00390625" defaultRowHeight="12.75"/>
  <cols>
    <col min="1" max="1" width="5.125" style="0" customWidth="1"/>
    <col min="2" max="2" width="36.125" style="0" customWidth="1"/>
    <col min="3" max="4" width="14.875" style="0" customWidth="1"/>
    <col min="5" max="5" width="15.375" style="0" customWidth="1"/>
    <col min="6" max="6" width="8.375" style="0" customWidth="1"/>
    <col min="7" max="7" width="12.125" style="0" customWidth="1"/>
    <col min="8" max="8" width="11.75390625" style="0" customWidth="1"/>
  </cols>
  <sheetData>
    <row r="1" spans="1:6" ht="16.5" customHeight="1">
      <c r="A1" s="67" t="s">
        <v>137</v>
      </c>
      <c r="B1" s="67"/>
      <c r="C1" s="67"/>
      <c r="D1" s="67"/>
      <c r="E1" s="67"/>
      <c r="F1" s="67"/>
    </row>
    <row r="2" spans="1:6" ht="15.75" customHeight="1">
      <c r="A2" s="68" t="s">
        <v>138</v>
      </c>
      <c r="B2" s="68"/>
      <c r="C2" s="68"/>
      <c r="D2" s="68"/>
      <c r="E2" s="68"/>
      <c r="F2" s="68"/>
    </row>
    <row r="3" spans="1:6" ht="15.75" customHeight="1">
      <c r="A3" s="68" t="s">
        <v>139</v>
      </c>
      <c r="B3" s="68"/>
      <c r="C3" s="68"/>
      <c r="D3" s="68"/>
      <c r="E3" s="68"/>
      <c r="F3" s="68"/>
    </row>
    <row r="4" spans="1:6" ht="32.25" customHeight="1">
      <c r="A4" s="69" t="s">
        <v>140</v>
      </c>
      <c r="B4" s="69"/>
      <c r="C4" s="69"/>
      <c r="D4" s="69"/>
      <c r="E4" s="69"/>
      <c r="F4" s="69"/>
    </row>
    <row r="5" spans="1:6" ht="15.75" customHeight="1">
      <c r="A5" s="70" t="s">
        <v>3</v>
      </c>
      <c r="B5" s="70"/>
      <c r="C5" s="70"/>
      <c r="D5" s="70"/>
      <c r="E5" s="70"/>
      <c r="F5" s="70"/>
    </row>
    <row r="6" spans="1:6" ht="41.25" customHeight="1">
      <c r="A6" s="71" t="s">
        <v>141</v>
      </c>
      <c r="B6" s="71" t="s">
        <v>45</v>
      </c>
      <c r="C6" s="7" t="s">
        <v>6</v>
      </c>
      <c r="D6" s="8" t="s">
        <v>7</v>
      </c>
      <c r="E6" s="8" t="s">
        <v>8</v>
      </c>
      <c r="F6" s="8" t="s">
        <v>9</v>
      </c>
    </row>
    <row r="7" spans="1:6" ht="10.5" customHeight="1">
      <c r="A7" s="72">
        <v>1</v>
      </c>
      <c r="B7" s="72">
        <v>2</v>
      </c>
      <c r="C7" s="72">
        <v>3</v>
      </c>
      <c r="D7" s="72">
        <v>4</v>
      </c>
      <c r="E7" s="73">
        <v>5</v>
      </c>
      <c r="F7" s="73">
        <v>6</v>
      </c>
    </row>
    <row r="8" spans="1:6" ht="16.5" customHeight="1">
      <c r="A8" s="74" t="s">
        <v>142</v>
      </c>
      <c r="B8" s="74"/>
      <c r="C8" s="75">
        <f>SUM(C13:C51)</f>
        <v>153678831</v>
      </c>
      <c r="D8" s="75">
        <f>SUM(D13:D51)</f>
        <v>168398243</v>
      </c>
      <c r="E8" s="75">
        <f>SUM(E13:E51)</f>
        <v>63621135.06</v>
      </c>
      <c r="F8" s="76">
        <f>(E8*100)/D8</f>
        <v>37.780165592345284</v>
      </c>
    </row>
    <row r="9" spans="1:6" ht="16.5" customHeight="1" hidden="1">
      <c r="A9" s="77" t="s">
        <v>143</v>
      </c>
      <c r="B9" s="78" t="s">
        <v>144</v>
      </c>
      <c r="C9" s="75">
        <v>0</v>
      </c>
      <c r="D9" s="75" t="e">
        <f>C9*100/#REF!</f>
        <v>#VALUE!</v>
      </c>
      <c r="E9" s="79"/>
      <c r="F9" s="79" t="e">
        <f>(E9*100)/D9</f>
        <v>#VALUE!</v>
      </c>
    </row>
    <row r="10" spans="1:6" ht="16.5" customHeight="1" hidden="1">
      <c r="A10" s="80"/>
      <c r="B10" s="81" t="s">
        <v>145</v>
      </c>
      <c r="C10" s="82">
        <v>0</v>
      </c>
      <c r="D10" s="82" t="e">
        <f>C10*100/#REF!</f>
        <v>#VALUE!</v>
      </c>
      <c r="E10" s="79"/>
      <c r="F10" s="79" t="e">
        <f>(E10*100)/D10</f>
        <v>#VALUE!</v>
      </c>
    </row>
    <row r="11" spans="1:6" ht="7.5" customHeight="1" hidden="1">
      <c r="A11" s="80"/>
      <c r="B11" s="81"/>
      <c r="C11" s="82"/>
      <c r="D11" s="75"/>
      <c r="E11" s="79"/>
      <c r="F11" s="79" t="e">
        <f>(E11*100)/D11</f>
        <v>#DIV/0!</v>
      </c>
    </row>
    <row r="12" spans="1:6" ht="7.5" customHeight="1">
      <c r="A12" s="80"/>
      <c r="B12" s="81"/>
      <c r="C12" s="82"/>
      <c r="D12" s="75"/>
      <c r="E12" s="79"/>
      <c r="F12" s="79"/>
    </row>
    <row r="13" spans="1:6" ht="15.75" customHeight="1">
      <c r="A13" s="80" t="s">
        <v>146</v>
      </c>
      <c r="B13" s="81" t="s">
        <v>147</v>
      </c>
      <c r="C13" s="82">
        <v>0</v>
      </c>
      <c r="D13" s="82">
        <v>0</v>
      </c>
      <c r="E13" s="79">
        <v>194.71</v>
      </c>
      <c r="F13" s="79">
        <v>0</v>
      </c>
    </row>
    <row r="14" spans="1:6" ht="7.5" customHeight="1">
      <c r="A14" s="80"/>
      <c r="B14" s="81"/>
      <c r="C14" s="82"/>
      <c r="D14" s="75"/>
      <c r="E14" s="79"/>
      <c r="F14" s="79"/>
    </row>
    <row r="15" spans="1:6" ht="7.5" customHeight="1">
      <c r="A15" s="80"/>
      <c r="B15" s="81"/>
      <c r="C15" s="82"/>
      <c r="D15" s="75"/>
      <c r="E15" s="79"/>
      <c r="F15" s="79"/>
    </row>
    <row r="16" spans="1:8" ht="15.75" customHeight="1">
      <c r="A16" s="80" t="s">
        <v>148</v>
      </c>
      <c r="B16" s="81" t="s">
        <v>149</v>
      </c>
      <c r="C16" s="82">
        <v>0</v>
      </c>
      <c r="D16" s="82">
        <v>0</v>
      </c>
      <c r="E16" s="79">
        <v>800</v>
      </c>
      <c r="F16" s="79">
        <v>0</v>
      </c>
      <c r="H16" s="19">
        <f>D16-C16</f>
        <v>0</v>
      </c>
    </row>
    <row r="17" spans="1:8" ht="7.5" customHeight="1">
      <c r="A17" s="80"/>
      <c r="B17" s="81"/>
      <c r="C17" s="82"/>
      <c r="D17" s="82"/>
      <c r="E17" s="79"/>
      <c r="F17" s="79"/>
      <c r="H17" s="19"/>
    </row>
    <row r="18" spans="1:8" ht="16.5" customHeight="1">
      <c r="A18" s="83">
        <v>600</v>
      </c>
      <c r="B18" s="50" t="s">
        <v>144</v>
      </c>
      <c r="C18" s="84">
        <v>0</v>
      </c>
      <c r="D18" s="82">
        <v>4492852</v>
      </c>
      <c r="E18" s="79">
        <v>2617581.96</v>
      </c>
      <c r="F18" s="79">
        <f>(E18*100)/D18</f>
        <v>58.261032413264445</v>
      </c>
      <c r="H18" s="19">
        <f>D18-C18</f>
        <v>4492852</v>
      </c>
    </row>
    <row r="19" spans="1:8" ht="7.5" customHeight="1">
      <c r="A19" s="80"/>
      <c r="B19" s="81"/>
      <c r="C19" s="82"/>
      <c r="D19" s="82"/>
      <c r="E19" s="79"/>
      <c r="F19" s="79"/>
      <c r="H19" s="19"/>
    </row>
    <row r="20" spans="1:8" ht="12.75">
      <c r="A20" s="83">
        <v>700</v>
      </c>
      <c r="B20" s="50" t="s">
        <v>150</v>
      </c>
      <c r="C20" s="84">
        <v>20798300</v>
      </c>
      <c r="D20" s="82">
        <f>24529385-155937</f>
        <v>24373448</v>
      </c>
      <c r="E20" s="79">
        <f>5195151.97-130627</f>
        <v>5064524.97</v>
      </c>
      <c r="F20" s="79">
        <f>(E20*100)/D20</f>
        <v>20.778861365860095</v>
      </c>
      <c r="H20" s="19">
        <f>D20-C20</f>
        <v>3575148</v>
      </c>
    </row>
    <row r="21" spans="1:8" ht="8.25" customHeight="1">
      <c r="A21" s="83"/>
      <c r="B21" s="83"/>
      <c r="C21" s="85"/>
      <c r="D21" s="82"/>
      <c r="E21" s="79"/>
      <c r="F21" s="79"/>
      <c r="H21" s="19"/>
    </row>
    <row r="22" spans="1:8" ht="12.75">
      <c r="A22" s="83">
        <v>710</v>
      </c>
      <c r="B22" s="50" t="s">
        <v>151</v>
      </c>
      <c r="C22" s="84">
        <v>6000</v>
      </c>
      <c r="D22" s="82">
        <f>264235-258235</f>
        <v>6000</v>
      </c>
      <c r="E22" s="79">
        <f>144692-136622</f>
        <v>8070</v>
      </c>
      <c r="F22" s="79">
        <f>(E22*100)/D22</f>
        <v>134.5</v>
      </c>
      <c r="H22" s="19">
        <f>D22-C22</f>
        <v>0</v>
      </c>
    </row>
    <row r="23" spans="1:8" ht="7.5" customHeight="1">
      <c r="A23" s="83"/>
      <c r="B23" s="83"/>
      <c r="C23" s="85"/>
      <c r="D23" s="82"/>
      <c r="E23" s="79"/>
      <c r="F23" s="79"/>
      <c r="H23" s="19"/>
    </row>
    <row r="24" spans="1:8" ht="12.75">
      <c r="A24" s="86">
        <v>750</v>
      </c>
      <c r="B24" s="50" t="s">
        <v>152</v>
      </c>
      <c r="C24" s="84">
        <v>2910400</v>
      </c>
      <c r="D24" s="82">
        <f>3326542-183653-232489</f>
        <v>2910400</v>
      </c>
      <c r="E24" s="79">
        <f>1209716.41-120739-111483</f>
        <v>977494.4099999999</v>
      </c>
      <c r="F24" s="79">
        <f>(E24*100)/D24</f>
        <v>33.586256528312255</v>
      </c>
      <c r="H24" s="19">
        <f>D24-C24</f>
        <v>0</v>
      </c>
    </row>
    <row r="25" spans="1:8" ht="8.25" customHeight="1">
      <c r="A25" s="83"/>
      <c r="B25" s="83"/>
      <c r="C25" s="85"/>
      <c r="D25" s="82"/>
      <c r="E25" s="79"/>
      <c r="F25" s="79"/>
      <c r="H25" s="19"/>
    </row>
    <row r="26" spans="1:8" ht="12.75">
      <c r="A26" s="86">
        <v>754</v>
      </c>
      <c r="B26" s="50" t="s">
        <v>153</v>
      </c>
      <c r="C26" s="84">
        <v>150000</v>
      </c>
      <c r="D26" s="82">
        <f>3046414-2896414</f>
        <v>150000</v>
      </c>
      <c r="E26" s="79">
        <f>1845884.87-1789204</f>
        <v>56680.87000000011</v>
      </c>
      <c r="F26" s="79">
        <f>(E26*100)/D26</f>
        <v>37.78724666666674</v>
      </c>
      <c r="H26" s="19">
        <f>D26-C26</f>
        <v>0</v>
      </c>
    </row>
    <row r="27" spans="1:8" ht="8.25" customHeight="1">
      <c r="A27" s="86"/>
      <c r="B27" s="86"/>
      <c r="C27" s="85"/>
      <c r="D27" s="82"/>
      <c r="E27" s="79"/>
      <c r="F27" s="79"/>
      <c r="H27" s="19"/>
    </row>
    <row r="28" spans="1:8" ht="60" customHeight="1">
      <c r="A28" s="83">
        <v>756</v>
      </c>
      <c r="B28" s="50" t="s">
        <v>154</v>
      </c>
      <c r="C28" s="84">
        <v>91165193</v>
      </c>
      <c r="D28" s="82">
        <f>91165193</f>
        <v>91165193</v>
      </c>
      <c r="E28" s="79">
        <f>46519873.2</f>
        <v>46519873.2</v>
      </c>
      <c r="F28" s="79">
        <f>(E28*100)/D28</f>
        <v>51.028108063128876</v>
      </c>
      <c r="H28" s="19">
        <f>D28-C28</f>
        <v>0</v>
      </c>
    </row>
    <row r="29" spans="1:8" ht="8.25" customHeight="1">
      <c r="A29" s="83"/>
      <c r="B29" s="83"/>
      <c r="C29" s="85"/>
      <c r="D29" s="82"/>
      <c r="E29" s="87"/>
      <c r="F29" s="79"/>
      <c r="G29" s="88"/>
      <c r="H29" s="19"/>
    </row>
    <row r="30" spans="1:8" ht="12.75">
      <c r="A30" s="83">
        <v>758</v>
      </c>
      <c r="B30" s="48" t="s">
        <v>155</v>
      </c>
      <c r="C30" s="84">
        <v>160000</v>
      </c>
      <c r="D30" s="82">
        <f>40744191-37591903-2034356-957932</f>
        <v>160000</v>
      </c>
      <c r="E30" s="87">
        <f>24721700.26-1017180-478812-23133479</f>
        <v>92229.26000000164</v>
      </c>
      <c r="F30" s="79">
        <f>(E30*100)/D30</f>
        <v>57.64328750000102</v>
      </c>
      <c r="G30" s="88"/>
      <c r="H30" s="19">
        <f>D30-C30</f>
        <v>0</v>
      </c>
    </row>
    <row r="31" spans="1:8" ht="18" customHeight="1" hidden="1">
      <c r="A31" s="83"/>
      <c r="B31" s="50" t="s">
        <v>156</v>
      </c>
      <c r="C31" s="84"/>
      <c r="D31" s="82"/>
      <c r="E31" s="79"/>
      <c r="F31" s="79" t="e">
        <f>(E31*100)/D31</f>
        <v>#DIV/0!</v>
      </c>
      <c r="H31" s="19">
        <f>D31-C31</f>
        <v>0</v>
      </c>
    </row>
    <row r="32" spans="1:8" ht="7.5" customHeight="1">
      <c r="A32" s="83"/>
      <c r="B32" s="83"/>
      <c r="C32" s="85"/>
      <c r="D32" s="82"/>
      <c r="E32" s="79"/>
      <c r="F32" s="79"/>
      <c r="H32" s="19"/>
    </row>
    <row r="33" spans="1:8" ht="12.75">
      <c r="A33" s="86">
        <v>801</v>
      </c>
      <c r="B33" s="50" t="s">
        <v>157</v>
      </c>
      <c r="C33" s="84">
        <v>1378513</v>
      </c>
      <c r="D33" s="82">
        <f>1391922-13409</f>
        <v>1378513</v>
      </c>
      <c r="E33" s="79">
        <f>821901.12-13409</f>
        <v>808492.12</v>
      </c>
      <c r="F33" s="79">
        <f>(E33*100)/D33</f>
        <v>58.649582557436894</v>
      </c>
      <c r="H33" s="19">
        <f>D33-C33</f>
        <v>0</v>
      </c>
    </row>
    <row r="34" spans="1:8" ht="8.25" customHeight="1">
      <c r="A34" s="86"/>
      <c r="B34" s="86"/>
      <c r="C34" s="85"/>
      <c r="D34" s="82"/>
      <c r="E34" s="79"/>
      <c r="F34" s="79"/>
      <c r="H34" s="19"/>
    </row>
    <row r="35" spans="1:8" ht="12.75">
      <c r="A35" s="86">
        <v>851</v>
      </c>
      <c r="B35" s="50" t="s">
        <v>158</v>
      </c>
      <c r="C35" s="84">
        <v>428550</v>
      </c>
      <c r="D35" s="82">
        <f>1176675-748125</f>
        <v>428550</v>
      </c>
      <c r="E35" s="79">
        <f>548105.39-310460</f>
        <v>237645.39</v>
      </c>
      <c r="F35" s="79">
        <f>(E35*100)/D35</f>
        <v>55.45336366818341</v>
      </c>
      <c r="H35" s="19">
        <f>D35-C35</f>
        <v>0</v>
      </c>
    </row>
    <row r="36" spans="1:8" ht="8.25" customHeight="1">
      <c r="A36" s="86"/>
      <c r="B36" s="86"/>
      <c r="C36" s="85"/>
      <c r="D36" s="82"/>
      <c r="E36" s="79"/>
      <c r="F36" s="79"/>
      <c r="H36" s="19"/>
    </row>
    <row r="37" spans="1:8" ht="12.75">
      <c r="A37" s="86">
        <v>852</v>
      </c>
      <c r="B37" s="48" t="s">
        <v>159</v>
      </c>
      <c r="C37" s="82">
        <f>753525-400000</f>
        <v>353525</v>
      </c>
      <c r="D37" s="82">
        <f>20325925-17121757-1725011-709632-400000</f>
        <v>369525</v>
      </c>
      <c r="E37" s="79">
        <f>8065155.2-354816-6114378-995588-247413.36-98339.03</f>
        <v>254620.8100000002</v>
      </c>
      <c r="F37" s="79">
        <f>(E37*100)/D37</f>
        <v>68.90489412083085</v>
      </c>
      <c r="H37" s="19">
        <f>D37-C37</f>
        <v>16000</v>
      </c>
    </row>
    <row r="38" spans="1:8" ht="9" customHeight="1">
      <c r="A38" s="86"/>
      <c r="B38" s="86"/>
      <c r="C38" s="85"/>
      <c r="D38" s="82"/>
      <c r="E38" s="79"/>
      <c r="F38" s="79"/>
      <c r="H38" s="19"/>
    </row>
    <row r="39" spans="1:8" ht="12.75">
      <c r="A39" s="86">
        <v>853</v>
      </c>
      <c r="B39" s="89" t="s">
        <v>160</v>
      </c>
      <c r="C39" s="82">
        <v>92150</v>
      </c>
      <c r="D39" s="82">
        <f>671392-110000-57000</f>
        <v>504392</v>
      </c>
      <c r="E39" s="79">
        <f>313714.83-28500-110000-124.66</f>
        <v>175090.17</v>
      </c>
      <c r="F39" s="79">
        <f>(E39*100)/D39</f>
        <v>34.71311400656632</v>
      </c>
      <c r="H39" s="19">
        <f>D39-C39</f>
        <v>412242</v>
      </c>
    </row>
    <row r="40" spans="1:8" ht="8.25" customHeight="1">
      <c r="A40" s="86"/>
      <c r="B40" s="89"/>
      <c r="C40" s="82"/>
      <c r="D40" s="82"/>
      <c r="E40" s="79"/>
      <c r="F40" s="79"/>
      <c r="H40" s="19"/>
    </row>
    <row r="41" spans="1:8" ht="12.75">
      <c r="A41" s="86">
        <v>854</v>
      </c>
      <c r="B41" s="89" t="s">
        <v>161</v>
      </c>
      <c r="C41" s="82">
        <v>706200</v>
      </c>
      <c r="D41" s="82">
        <f>1010074-236014</f>
        <v>774060</v>
      </c>
      <c r="E41" s="79">
        <f>835814.12-236014</f>
        <v>599800.12</v>
      </c>
      <c r="F41" s="79">
        <f>(E41*100)/D41</f>
        <v>77.48754876882928</v>
      </c>
      <c r="H41" s="19">
        <f>D41-C41</f>
        <v>67860</v>
      </c>
    </row>
    <row r="42" spans="1:8" ht="8.25" customHeight="1">
      <c r="A42" s="86"/>
      <c r="B42" s="89"/>
      <c r="C42" s="82"/>
      <c r="D42" s="82"/>
      <c r="E42" s="79"/>
      <c r="F42" s="79"/>
      <c r="H42" s="19"/>
    </row>
    <row r="43" spans="1:8" ht="12.75">
      <c r="A43" s="86">
        <v>900</v>
      </c>
      <c r="B43" s="89" t="s">
        <v>162</v>
      </c>
      <c r="C43" s="82">
        <v>30000</v>
      </c>
      <c r="D43" s="82">
        <v>110000</v>
      </c>
      <c r="E43" s="79">
        <v>114798.8</v>
      </c>
      <c r="F43" s="79">
        <f>(E43*100)/D43</f>
        <v>104.36254545454545</v>
      </c>
      <c r="H43" s="19">
        <f>D43-C43</f>
        <v>80000</v>
      </c>
    </row>
    <row r="44" spans="1:8" ht="8.25" customHeight="1">
      <c r="A44" s="86"/>
      <c r="B44" s="89"/>
      <c r="C44" s="82"/>
      <c r="D44" s="82"/>
      <c r="E44" s="79"/>
      <c r="F44" s="79"/>
      <c r="H44" s="19"/>
    </row>
    <row r="45" spans="1:8" ht="12.75">
      <c r="A45" s="86">
        <v>926</v>
      </c>
      <c r="B45" s="89" t="s">
        <v>163</v>
      </c>
      <c r="C45" s="82">
        <v>0</v>
      </c>
      <c r="D45" s="82">
        <v>55000</v>
      </c>
      <c r="E45" s="79">
        <v>72927.77</v>
      </c>
      <c r="F45" s="79">
        <f>(E45*100)/D45</f>
        <v>132.59594545454544</v>
      </c>
      <c r="H45" s="19">
        <f>D45-C45</f>
        <v>55000</v>
      </c>
    </row>
    <row r="46" spans="1:8" ht="6.75" customHeight="1">
      <c r="A46" s="86"/>
      <c r="B46" s="48"/>
      <c r="C46" s="82"/>
      <c r="D46" s="82"/>
      <c r="E46" s="79"/>
      <c r="F46" s="79"/>
      <c r="H46" s="19"/>
    </row>
    <row r="47" spans="1:8" ht="12.75" hidden="1">
      <c r="A47" s="86"/>
      <c r="B47" s="48"/>
      <c r="C47" s="82"/>
      <c r="D47" s="82"/>
      <c r="E47" s="79"/>
      <c r="F47" s="79" t="e">
        <f>(E47*100)/D47</f>
        <v>#DIV/0!</v>
      </c>
      <c r="H47" s="19">
        <f>D47-C47</f>
        <v>0</v>
      </c>
    </row>
    <row r="48" spans="1:8" ht="12.75" hidden="1">
      <c r="A48" s="86"/>
      <c r="B48" s="48" t="s">
        <v>164</v>
      </c>
      <c r="C48" s="82"/>
      <c r="D48" s="82"/>
      <c r="E48" s="79"/>
      <c r="F48" s="79" t="e">
        <f>(E48*100)/D48</f>
        <v>#DIV/0!</v>
      </c>
      <c r="H48" s="19">
        <f>D48-C48</f>
        <v>0</v>
      </c>
    </row>
    <row r="49" spans="1:8" ht="7.5" customHeight="1" hidden="1">
      <c r="A49" s="86"/>
      <c r="B49" s="48"/>
      <c r="C49" s="82"/>
      <c r="D49" s="82"/>
      <c r="E49" s="79"/>
      <c r="F49" s="79" t="e">
        <f>(E49*100)/D49</f>
        <v>#DIV/0!</v>
      </c>
      <c r="H49" s="19">
        <f>D49-C49</f>
        <v>0</v>
      </c>
    </row>
    <row r="50" spans="1:8" ht="19.5" customHeight="1" hidden="1">
      <c r="A50" s="86"/>
      <c r="B50" s="48"/>
      <c r="C50" s="82"/>
      <c r="D50" s="82"/>
      <c r="E50" s="79"/>
      <c r="F50" s="79" t="e">
        <f>(E50*100)/D50</f>
        <v>#DIV/0!</v>
      </c>
      <c r="H50" s="19">
        <f>D50-C50</f>
        <v>0</v>
      </c>
    </row>
    <row r="51" spans="1:8" ht="18.75" customHeight="1">
      <c r="A51" s="86"/>
      <c r="B51" s="48" t="s">
        <v>24</v>
      </c>
      <c r="C51" s="82">
        <v>35500000</v>
      </c>
      <c r="D51" s="82">
        <v>41520310</v>
      </c>
      <c r="E51" s="79">
        <v>6020310.5</v>
      </c>
      <c r="F51" s="79">
        <f>(E51*100)/D51</f>
        <v>14.499676182571855</v>
      </c>
      <c r="H51" s="19">
        <f>D51-C51</f>
        <v>6020310</v>
      </c>
    </row>
    <row r="52" spans="1:6" ht="12.75">
      <c r="A52" s="90"/>
      <c r="B52" s="90"/>
      <c r="C52" s="91"/>
      <c r="D52" s="92"/>
      <c r="E52" s="91"/>
      <c r="F52" s="91"/>
    </row>
    <row r="53" spans="1:7" ht="12.75">
      <c r="A53" s="93"/>
      <c r="B53" s="93"/>
      <c r="C53" s="94">
        <f>154078831-400000</f>
        <v>153678831</v>
      </c>
      <c r="D53" s="94">
        <f>192325900+35500000-4299364-400000-110000-13409-1725011-709632-17365346-37591903-957932-2034356-5000-236014+6020310</f>
        <v>168398243</v>
      </c>
      <c r="E53" s="94">
        <f>93033562.61-478812-1017180-23133479-247413.36-98339.03-6240667-354816-13409-995588-110000-2506896-236014-124.66+6020310.5</f>
        <v>63621135.06</v>
      </c>
      <c r="F53" s="95"/>
      <c r="G53" s="19"/>
    </row>
    <row r="54" spans="1:7" ht="12.75">
      <c r="A54" s="93"/>
      <c r="B54" s="93"/>
      <c r="C54" s="94">
        <f>C53-C8</f>
        <v>0</v>
      </c>
      <c r="D54" s="94">
        <f>D53-D8</f>
        <v>0</v>
      </c>
      <c r="E54" s="94">
        <f>E53-E8</f>
        <v>0</v>
      </c>
      <c r="F54" s="95"/>
      <c r="G54" s="19"/>
    </row>
    <row r="55" spans="1:7" ht="12.75">
      <c r="A55" s="93"/>
      <c r="B55" s="93"/>
      <c r="C55" s="94"/>
      <c r="D55" s="94"/>
      <c r="E55" s="94"/>
      <c r="F55" s="95"/>
      <c r="G55" s="19"/>
    </row>
    <row r="56" spans="1:6" ht="12.75">
      <c r="A56" s="93"/>
      <c r="B56" s="93"/>
      <c r="C56" s="94"/>
      <c r="D56" s="94"/>
      <c r="E56" s="91"/>
      <c r="F56" s="90"/>
    </row>
    <row r="57" spans="1:6" ht="12.75">
      <c r="A57" s="93"/>
      <c r="B57" s="93"/>
      <c r="C57" s="94"/>
      <c r="D57" s="94"/>
      <c r="E57" s="91"/>
      <c r="F57" s="90"/>
    </row>
    <row r="58" spans="1:6" ht="12.75">
      <c r="A58" s="96"/>
      <c r="B58" s="96"/>
      <c r="C58" s="97"/>
      <c r="D58" s="64"/>
      <c r="E58" s="98"/>
      <c r="F58" s="99"/>
    </row>
    <row r="59" spans="1:6" ht="12.75">
      <c r="A59" s="96"/>
      <c r="B59" s="96"/>
      <c r="C59" s="97"/>
      <c r="D59" s="64"/>
      <c r="E59" s="98"/>
      <c r="F59" s="99"/>
    </row>
    <row r="60" spans="1:6" ht="12.75">
      <c r="A60" s="96"/>
      <c r="B60" s="96"/>
      <c r="C60" s="97"/>
      <c r="D60" s="64"/>
      <c r="E60" s="98"/>
      <c r="F60" s="99"/>
    </row>
    <row r="61" spans="1:6" ht="12.75">
      <c r="A61" s="96"/>
      <c r="B61" s="96"/>
      <c r="C61" s="97"/>
      <c r="D61" s="64"/>
      <c r="E61" s="98"/>
      <c r="F61" s="99"/>
    </row>
    <row r="62" spans="1:6" ht="12.75">
      <c r="A62" s="96"/>
      <c r="B62" s="96"/>
      <c r="C62" s="97"/>
      <c r="D62" s="64"/>
      <c r="E62" s="98"/>
      <c r="F62" s="99"/>
    </row>
    <row r="63" spans="1:6" ht="12.75">
      <c r="A63" s="96"/>
      <c r="B63" s="96"/>
      <c r="C63" s="97"/>
      <c r="D63" s="64"/>
      <c r="E63" s="98"/>
      <c r="F63" s="99"/>
    </row>
    <row r="64" spans="1:6" ht="12.75">
      <c r="A64" s="96"/>
      <c r="B64" s="96"/>
      <c r="C64" s="97"/>
      <c r="D64" s="64"/>
      <c r="E64" s="98"/>
      <c r="F64" s="99"/>
    </row>
    <row r="65" spans="1:6" ht="12.75">
      <c r="A65" s="96"/>
      <c r="B65" s="96"/>
      <c r="C65" s="97"/>
      <c r="D65" s="64"/>
      <c r="E65" s="98"/>
      <c r="F65" s="99"/>
    </row>
    <row r="66" spans="1:6" ht="12.75">
      <c r="A66" s="96"/>
      <c r="B66" s="96"/>
      <c r="C66" s="97"/>
      <c r="D66" s="64"/>
      <c r="E66" s="98"/>
      <c r="F66" s="99"/>
    </row>
    <row r="67" spans="1:6" ht="12.75">
      <c r="A67" s="96"/>
      <c r="B67" s="96"/>
      <c r="C67" s="97"/>
      <c r="D67" s="64"/>
      <c r="E67" s="98"/>
      <c r="F67" s="99"/>
    </row>
    <row r="68" spans="1:6" ht="12.75">
      <c r="A68" s="96"/>
      <c r="B68" s="96"/>
      <c r="C68" s="97"/>
      <c r="D68" s="64"/>
      <c r="E68" s="98"/>
      <c r="F68" s="99"/>
    </row>
    <row r="69" spans="1:6" ht="12.75">
      <c r="A69" s="96"/>
      <c r="B69" s="96"/>
      <c r="C69" s="97"/>
      <c r="D69" s="64"/>
      <c r="E69" s="98"/>
      <c r="F69" s="99"/>
    </row>
    <row r="70" spans="1:6" ht="12.75">
      <c r="A70" s="96"/>
      <c r="B70" s="96"/>
      <c r="C70" s="97"/>
      <c r="D70" s="64"/>
      <c r="E70" s="98"/>
      <c r="F70" s="99"/>
    </row>
    <row r="71" spans="1:6" ht="12.75">
      <c r="A71" s="96"/>
      <c r="B71" s="96"/>
      <c r="C71" s="97"/>
      <c r="D71" s="64"/>
      <c r="E71" s="98"/>
      <c r="F71" s="99"/>
    </row>
    <row r="72" spans="1:6" ht="12.75">
      <c r="A72" s="96"/>
      <c r="B72" s="96"/>
      <c r="C72" s="97"/>
      <c r="D72" s="64"/>
      <c r="E72" s="98"/>
      <c r="F72" s="99"/>
    </row>
    <row r="73" spans="1:6" ht="12.75">
      <c r="A73" s="96"/>
      <c r="B73" s="96"/>
      <c r="C73" s="97"/>
      <c r="D73" s="64"/>
      <c r="E73" s="98"/>
      <c r="F73" s="99"/>
    </row>
    <row r="74" spans="1:6" ht="12.75">
      <c r="A74" s="96"/>
      <c r="B74" s="96"/>
      <c r="C74" s="97"/>
      <c r="D74" s="64"/>
      <c r="E74" s="98"/>
      <c r="F74" s="99"/>
    </row>
    <row r="75" spans="1:6" ht="12.75">
      <c r="A75" s="96"/>
      <c r="B75" s="96"/>
      <c r="C75" s="97"/>
      <c r="D75" s="64"/>
      <c r="E75" s="98"/>
      <c r="F75" s="99"/>
    </row>
    <row r="76" spans="1:6" ht="12.75">
      <c r="A76" s="96"/>
      <c r="B76" s="96"/>
      <c r="C76" s="97"/>
      <c r="D76" s="64"/>
      <c r="E76" s="98"/>
      <c r="F76" s="99"/>
    </row>
    <row r="77" spans="1:6" ht="12.75">
      <c r="A77" s="96"/>
      <c r="B77" s="96"/>
      <c r="C77" s="97"/>
      <c r="D77" s="64"/>
      <c r="E77" s="98"/>
      <c r="F77" s="99"/>
    </row>
    <row r="78" spans="1:6" ht="12.75">
      <c r="A78" s="96"/>
      <c r="B78" s="96"/>
      <c r="C78" s="97"/>
      <c r="D78" s="64"/>
      <c r="E78" s="98"/>
      <c r="F78" s="99"/>
    </row>
    <row r="79" spans="1:6" ht="12.75">
      <c r="A79" s="96"/>
      <c r="B79" s="96"/>
      <c r="C79" s="97"/>
      <c r="D79" s="64"/>
      <c r="E79" s="98"/>
      <c r="F79" s="99"/>
    </row>
    <row r="80" spans="1:6" ht="12.75">
      <c r="A80" s="99"/>
      <c r="B80" s="99"/>
      <c r="C80" s="100"/>
      <c r="D80" s="98"/>
      <c r="E80" s="98"/>
      <c r="F80" s="99"/>
    </row>
    <row r="81" spans="3:5" ht="12.75">
      <c r="C81" s="31"/>
      <c r="D81" s="66"/>
      <c r="E81" s="66"/>
    </row>
    <row r="82" spans="3:5" ht="12.75">
      <c r="C82" s="31"/>
      <c r="D82" s="66"/>
      <c r="E82" s="66"/>
    </row>
    <row r="83" spans="4:5" ht="12.75">
      <c r="D83" s="101"/>
      <c r="E83" s="101"/>
    </row>
    <row r="84" spans="4:5" ht="12.75">
      <c r="D84" s="101"/>
      <c r="E84" s="101"/>
    </row>
    <row r="85" spans="4:5" ht="12.75">
      <c r="D85" s="101"/>
      <c r="E85" s="101"/>
    </row>
    <row r="86" spans="4:5" ht="12.75">
      <c r="D86" s="101"/>
      <c r="E86" s="101"/>
    </row>
    <row r="87" spans="4:5" ht="12.75">
      <c r="D87" s="101"/>
      <c r="E87" s="101"/>
    </row>
    <row r="88" spans="4:5" ht="12.75">
      <c r="D88" s="101"/>
      <c r="E88" s="101"/>
    </row>
    <row r="89" spans="4:5" ht="12.75">
      <c r="D89" s="101"/>
      <c r="E89" s="101"/>
    </row>
    <row r="90" spans="4:5" ht="12.75">
      <c r="D90" s="101"/>
      <c r="E90" s="101"/>
    </row>
    <row r="91" spans="4:5" ht="12.75">
      <c r="D91" s="101"/>
      <c r="E91" s="101"/>
    </row>
    <row r="92" spans="4:5" ht="12.75">
      <c r="D92" s="101"/>
      <c r="E92" s="101"/>
    </row>
    <row r="93" spans="4:5" ht="12.75">
      <c r="D93" s="101"/>
      <c r="E93" s="101"/>
    </row>
    <row r="94" spans="4:5" ht="12.75">
      <c r="D94" s="101"/>
      <c r="E94" s="101"/>
    </row>
    <row r="95" spans="4:5" ht="12.75">
      <c r="D95" s="101"/>
      <c r="E95" s="101"/>
    </row>
    <row r="96" spans="4:5" ht="12.75">
      <c r="D96" s="101"/>
      <c r="E96" s="101"/>
    </row>
    <row r="97" spans="4:5" ht="12.75">
      <c r="D97" s="101"/>
      <c r="E97" s="101"/>
    </row>
    <row r="98" spans="4:5" ht="12.75">
      <c r="D98" s="101"/>
      <c r="E98" s="101"/>
    </row>
    <row r="99" spans="4:5" ht="12.75">
      <c r="D99" s="101"/>
      <c r="E99" s="101"/>
    </row>
    <row r="100" spans="4:5" ht="12.75">
      <c r="D100" s="101"/>
      <c r="E100" s="101"/>
    </row>
    <row r="101" spans="4:5" ht="12.75">
      <c r="D101" s="101"/>
      <c r="E101" s="101"/>
    </row>
    <row r="102" spans="4:5" ht="12.75">
      <c r="D102" s="101"/>
      <c r="E102" s="101"/>
    </row>
    <row r="103" spans="4:5" ht="12.75">
      <c r="D103" s="101"/>
      <c r="E103" s="101"/>
    </row>
    <row r="104" spans="4:5" ht="12.75">
      <c r="D104" s="101"/>
      <c r="E104" s="101"/>
    </row>
    <row r="105" spans="4:5" ht="12.75">
      <c r="D105" s="101"/>
      <c r="E105" s="101"/>
    </row>
    <row r="106" spans="4:5" ht="12.75">
      <c r="D106" s="101"/>
      <c r="E106" s="101"/>
    </row>
    <row r="107" spans="4:5" ht="12.75">
      <c r="D107" s="101"/>
      <c r="E107" s="101"/>
    </row>
    <row r="108" spans="4:5" ht="12.75">
      <c r="D108" s="101"/>
      <c r="E108" s="101"/>
    </row>
    <row r="109" spans="4:5" ht="12.75">
      <c r="D109" s="101"/>
      <c r="E109" s="101"/>
    </row>
    <row r="110" spans="4:5" ht="12.75">
      <c r="D110" s="101"/>
      <c r="E110" s="101"/>
    </row>
    <row r="111" spans="4:5" ht="12.75">
      <c r="D111" s="101"/>
      <c r="E111" s="101"/>
    </row>
    <row r="112" spans="4:5" ht="12.75">
      <c r="D112" s="101"/>
      <c r="E112" s="101"/>
    </row>
    <row r="113" spans="4:5" ht="12.75">
      <c r="D113" s="101"/>
      <c r="E113" s="101"/>
    </row>
    <row r="114" spans="4:5" ht="12.75">
      <c r="D114" s="101"/>
      <c r="E114" s="101"/>
    </row>
    <row r="115" spans="4:5" ht="12.75">
      <c r="D115" s="101"/>
      <c r="E115" s="101"/>
    </row>
    <row r="116" spans="4:5" ht="12.75">
      <c r="D116" s="101"/>
      <c r="E116" s="101"/>
    </row>
    <row r="117" spans="4:5" ht="12.75">
      <c r="D117" s="101"/>
      <c r="E117" s="101"/>
    </row>
    <row r="118" spans="4:5" ht="12.75">
      <c r="D118" s="101"/>
      <c r="E118" s="101"/>
    </row>
    <row r="119" spans="4:5" ht="12.75">
      <c r="D119" s="101"/>
      <c r="E119" s="101"/>
    </row>
    <row r="120" spans="4:5" ht="12.75">
      <c r="D120" s="101"/>
      <c r="E120" s="101"/>
    </row>
    <row r="121" spans="4:5" ht="12.75">
      <c r="D121" s="101"/>
      <c r="E121" s="101"/>
    </row>
    <row r="122" spans="4:5" ht="12.75">
      <c r="D122" s="101"/>
      <c r="E122" s="101"/>
    </row>
    <row r="123" spans="4:5" ht="12.75">
      <c r="D123" s="101"/>
      <c r="E123" s="101"/>
    </row>
    <row r="124" spans="4:5" ht="12.75">
      <c r="D124" s="101"/>
      <c r="E124" s="101"/>
    </row>
    <row r="125" spans="4:5" ht="12.75">
      <c r="D125" s="101"/>
      <c r="E125" s="101"/>
    </row>
    <row r="126" spans="4:5" ht="12.75">
      <c r="D126" s="101"/>
      <c r="E126" s="101"/>
    </row>
    <row r="127" spans="4:5" ht="12.75">
      <c r="D127" s="101"/>
      <c r="E127" s="101"/>
    </row>
    <row r="128" spans="4:5" ht="12.75">
      <c r="D128" s="101"/>
      <c r="E128" s="101"/>
    </row>
    <row r="129" spans="4:5" ht="12.75">
      <c r="D129" s="101"/>
      <c r="E129" s="101"/>
    </row>
    <row r="130" spans="4:5" ht="12.75">
      <c r="D130" s="101"/>
      <c r="E130" s="101"/>
    </row>
    <row r="131" spans="4:5" ht="12.75">
      <c r="D131" s="101"/>
      <c r="E131" s="101"/>
    </row>
    <row r="132" spans="4:5" ht="12.75">
      <c r="D132" s="101"/>
      <c r="E132" s="101"/>
    </row>
    <row r="133" spans="4:5" ht="12.75">
      <c r="D133" s="101"/>
      <c r="E133" s="101"/>
    </row>
    <row r="134" spans="4:5" ht="12.75">
      <c r="D134" s="101"/>
      <c r="E134" s="101"/>
    </row>
    <row r="135" spans="4:5" ht="12.75">
      <c r="D135" s="101"/>
      <c r="E135" s="101"/>
    </row>
    <row r="136" spans="4:5" ht="12.75">
      <c r="D136" s="101"/>
      <c r="E136" s="101"/>
    </row>
    <row r="137" spans="4:5" ht="12.75">
      <c r="D137" s="101"/>
      <c r="E137" s="101"/>
    </row>
    <row r="138" spans="4:5" ht="12.75">
      <c r="D138" s="101"/>
      <c r="E138" s="101"/>
    </row>
    <row r="139" spans="4:5" ht="12.75">
      <c r="D139" s="101"/>
      <c r="E139" s="101"/>
    </row>
    <row r="140" spans="4:5" ht="12.75">
      <c r="D140" s="101"/>
      <c r="E140" s="101"/>
    </row>
    <row r="141" spans="4:5" ht="12.75">
      <c r="D141" s="101"/>
      <c r="E141" s="101"/>
    </row>
    <row r="142" spans="4:5" ht="12.75">
      <c r="D142" s="101"/>
      <c r="E142" s="101"/>
    </row>
    <row r="143" spans="4:5" ht="12.75">
      <c r="D143" s="101"/>
      <c r="E143" s="101"/>
    </row>
    <row r="144" spans="4:5" ht="12.75">
      <c r="D144" s="101"/>
      <c r="E144" s="101"/>
    </row>
    <row r="145" spans="4:5" ht="12.75">
      <c r="D145" s="101"/>
      <c r="E145" s="101"/>
    </row>
    <row r="146" spans="4:5" ht="12.75">
      <c r="D146" s="101"/>
      <c r="E146" s="101"/>
    </row>
    <row r="147" spans="4:5" ht="12.75">
      <c r="D147" s="101"/>
      <c r="E147" s="101"/>
    </row>
    <row r="148" spans="4:5" ht="12.75">
      <c r="D148" s="101"/>
      <c r="E148" s="101"/>
    </row>
    <row r="149" spans="4:5" ht="12.75">
      <c r="D149" s="101"/>
      <c r="E149" s="101"/>
    </row>
    <row r="150" spans="4:5" ht="12.75">
      <c r="D150" s="101"/>
      <c r="E150" s="101"/>
    </row>
    <row r="151" spans="4:5" ht="12.75">
      <c r="D151" s="101"/>
      <c r="E151" s="101"/>
    </row>
    <row r="152" spans="4:5" ht="12.75">
      <c r="D152" s="101"/>
      <c r="E152" s="101"/>
    </row>
    <row r="153" spans="4:5" ht="12.75">
      <c r="D153" s="101"/>
      <c r="E153" s="101"/>
    </row>
    <row r="154" spans="4:5" ht="12.75">
      <c r="D154" s="101"/>
      <c r="E154" s="101"/>
    </row>
    <row r="155" spans="4:5" ht="12.75">
      <c r="D155" s="101"/>
      <c r="E155" s="101"/>
    </row>
    <row r="156" spans="4:5" ht="12.75">
      <c r="D156" s="101"/>
      <c r="E156" s="101"/>
    </row>
    <row r="157" spans="4:5" ht="12.75">
      <c r="D157" s="101"/>
      <c r="E157" s="101"/>
    </row>
    <row r="158" spans="4:5" ht="12.75">
      <c r="D158" s="101"/>
      <c r="E158" s="101"/>
    </row>
    <row r="159" spans="4:5" ht="12.75">
      <c r="D159" s="101"/>
      <c r="E159" s="101"/>
    </row>
    <row r="160" spans="4:5" ht="12.75">
      <c r="D160" s="101"/>
      <c r="E160" s="101"/>
    </row>
    <row r="161" spans="4:5" ht="12.75">
      <c r="D161" s="101"/>
      <c r="E161" s="101"/>
    </row>
    <row r="162" spans="4:5" ht="12.75">
      <c r="D162" s="101"/>
      <c r="E162" s="101"/>
    </row>
    <row r="163" spans="4:5" ht="12.75">
      <c r="D163" s="101"/>
      <c r="E163" s="101"/>
    </row>
    <row r="164" spans="4:5" ht="12.75">
      <c r="D164" s="101"/>
      <c r="E164" s="101"/>
    </row>
    <row r="165" spans="4:5" ht="12.75">
      <c r="D165" s="101"/>
      <c r="E165" s="101"/>
    </row>
    <row r="166" spans="4:5" ht="12.75">
      <c r="D166" s="101"/>
      <c r="E166" s="101"/>
    </row>
    <row r="167" spans="4:5" ht="12.75">
      <c r="D167" s="101"/>
      <c r="E167" s="101"/>
    </row>
    <row r="168" spans="4:5" ht="12.75">
      <c r="D168" s="101"/>
      <c r="E168" s="101"/>
    </row>
    <row r="169" spans="4:5" ht="12.75">
      <c r="D169" s="101"/>
      <c r="E169" s="101"/>
    </row>
    <row r="170" spans="4:5" ht="12.75">
      <c r="D170" s="101"/>
      <c r="E170" s="101"/>
    </row>
    <row r="171" spans="4:5" ht="12.75">
      <c r="D171" s="101"/>
      <c r="E171" s="101"/>
    </row>
    <row r="172" spans="4:5" ht="12.75">
      <c r="D172" s="101"/>
      <c r="E172" s="101"/>
    </row>
    <row r="173" spans="4:5" ht="12.75">
      <c r="D173" s="101"/>
      <c r="E173" s="101"/>
    </row>
    <row r="174" spans="4:5" ht="12.75">
      <c r="D174" s="101"/>
      <c r="E174" s="101"/>
    </row>
    <row r="175" spans="4:5" ht="12.75">
      <c r="D175" s="101"/>
      <c r="E175" s="101"/>
    </row>
    <row r="176" spans="4:5" ht="12.75">
      <c r="D176" s="101"/>
      <c r="E176" s="101"/>
    </row>
    <row r="177" spans="4:5" ht="12.75">
      <c r="D177" s="101"/>
      <c r="E177" s="101"/>
    </row>
    <row r="178" spans="4:5" ht="12.75">
      <c r="D178" s="101"/>
      <c r="E178" s="101"/>
    </row>
    <row r="179" spans="4:5" ht="12.75">
      <c r="D179" s="101"/>
      <c r="E179" s="101"/>
    </row>
    <row r="180" spans="4:5" ht="12.75">
      <c r="D180" s="101"/>
      <c r="E180" s="101"/>
    </row>
    <row r="181" spans="4:5" ht="12.75">
      <c r="D181" s="101"/>
      <c r="E181" s="101"/>
    </row>
    <row r="182" spans="4:5" ht="12.75">
      <c r="D182" s="101"/>
      <c r="E182" s="101"/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8:B8"/>
  </mergeCells>
  <printOptions/>
  <pageMargins left="0.5701388888888889" right="0.4097222222222222" top="0.6097222222222223" bottom="0.72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Olejnik Magdalena</dc:creator>
  <cp:keywords/>
  <dc:description/>
  <cp:lastModifiedBy>Olejnik Magdalena</cp:lastModifiedBy>
  <cp:lastPrinted>2006-08-16T10:56:07Z</cp:lastPrinted>
  <dcterms:created xsi:type="dcterms:W3CDTF">2004-10-20T11:57:02Z</dcterms:created>
  <dcterms:modified xsi:type="dcterms:W3CDTF">2006-08-16T11:28:55Z</dcterms:modified>
  <cp:category/>
  <cp:version/>
  <cp:contentType/>
  <cp:contentStatus/>
</cp:coreProperties>
</file>